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30" windowHeight="7575" firstSheet="2" activeTab="7"/>
  </bookViews>
  <sheets>
    <sheet name="Stage A-I-old" sheetId="1" r:id="rId1"/>
    <sheet name="Stage A-II-old" sheetId="2" r:id="rId2"/>
    <sheet name="Stage A-I-0" sheetId="3" r:id="rId3"/>
    <sheet name="Stage A-I" sheetId="4" r:id="rId4"/>
    <sheet name="Stage A-II" sheetId="5" r:id="rId5"/>
    <sheet name="Stage A-I (2)" sheetId="6" r:id="rId6"/>
    <sheet name="Stage A-II (2)" sheetId="7" r:id="rId7"/>
    <sheet name="Stage B-I" sheetId="8" r:id="rId8"/>
    <sheet name="Stage B-II" sheetId="9" r:id="rId9"/>
    <sheet name="Stage B-III" sheetId="10" r:id="rId10"/>
    <sheet name="Stage C-I" sheetId="11" r:id="rId11"/>
    <sheet name="Stage C-II" sheetId="12" r:id="rId12"/>
    <sheet name="Stage D-I" sheetId="13" r:id="rId13"/>
    <sheet name="Stage D-II" sheetId="14" r:id="rId14"/>
  </sheets>
  <definedNames/>
  <calcPr fullCalcOnLoad="1"/>
</workbook>
</file>

<file path=xl/sharedStrings.xml><?xml version="1.0" encoding="utf-8"?>
<sst xmlns="http://schemas.openxmlformats.org/spreadsheetml/2006/main" count="1451" uniqueCount="92">
  <si>
    <t>Transverse IP shift (crossing plane)</t>
  </si>
  <si>
    <t>Energy</t>
  </si>
  <si>
    <t>Number of bunches</t>
  </si>
  <si>
    <t>Bunch intensity</t>
  </si>
  <si>
    <t>Longitudinal emittance</t>
  </si>
  <si>
    <t>Normalised transverse emittance</t>
  </si>
  <si>
    <t>Derived parameters</t>
  </si>
  <si>
    <t>Protons per beam</t>
  </si>
  <si>
    <t>Current per beam</t>
  </si>
  <si>
    <t>Stored energy per beam</t>
  </si>
  <si>
    <t>Relativistic Gamma</t>
  </si>
  <si>
    <t>Parameter</t>
  </si>
  <si>
    <t>Unit</t>
  </si>
  <si>
    <t>mm</t>
  </si>
  <si>
    <t>m</t>
  </si>
  <si>
    <t>TeV</t>
  </si>
  <si>
    <t>eV.s</t>
  </si>
  <si>
    <t>mA</t>
  </si>
  <si>
    <t>MJ</t>
  </si>
  <si>
    <t>cm</t>
  </si>
  <si>
    <t>cm-2 s-1</t>
  </si>
  <si>
    <t>mum.rad</t>
  </si>
  <si>
    <t>murad</t>
  </si>
  <si>
    <t>Injection</t>
  </si>
  <si>
    <t>Collision</t>
  </si>
  <si>
    <t>Beta * IP2</t>
  </si>
  <si>
    <t>Beta * IP8</t>
  </si>
  <si>
    <t>Beta * IP1 &amp; IP5</t>
  </si>
  <si>
    <t>Crossing/Separation plane IP1</t>
  </si>
  <si>
    <t>Crossing/Separation plane IP2</t>
  </si>
  <si>
    <t>Crossing/Separation plane IP5</t>
  </si>
  <si>
    <t>Crossing/Separation plane IP8</t>
  </si>
  <si>
    <t>NA/V</t>
  </si>
  <si>
    <t>NA/H</t>
  </si>
  <si>
    <t>Beam size IP1 &amp; IP5</t>
  </si>
  <si>
    <t>Beam size IP2</t>
  </si>
  <si>
    <t>Beam size IP8</t>
  </si>
  <si>
    <t>Geometric factor IP2</t>
  </si>
  <si>
    <t>Geometric factor IP8</t>
  </si>
  <si>
    <t>Separation IP1 &amp; IP5</t>
  </si>
  <si>
    <t>Separation IP2</t>
  </si>
  <si>
    <t>Separation IP8</t>
  </si>
  <si>
    <t>RMS bunch length</t>
  </si>
  <si>
    <t>Number of bunches crossing in IP1 &amp; IP5</t>
  </si>
  <si>
    <t>Number of bunches crossing in IP2</t>
  </si>
  <si>
    <t>Number of bunches crossing in IP8</t>
  </si>
  <si>
    <t>Luminosity in IP1 &amp; IP5</t>
  </si>
  <si>
    <t>Luminosity in IP2</t>
  </si>
  <si>
    <t>Luminosity in IP8</t>
  </si>
  <si>
    <t>Events per crossing IP1 &amp; IP5 (60 mbarn)</t>
  </si>
  <si>
    <t>Events per crossing IP2 (60 mbarn)</t>
  </si>
  <si>
    <t>Events per crossing IP8 (60 mbarn)</t>
  </si>
  <si>
    <t>Geometric factor IP1 &amp; IP5</t>
  </si>
  <si>
    <t>V/H</t>
  </si>
  <si>
    <t>H/V</t>
  </si>
  <si>
    <t>Alternative collision schedules</t>
  </si>
  <si>
    <t>IP1</t>
  </si>
  <si>
    <t>IP2</t>
  </si>
  <si>
    <t>IP5</t>
  </si>
  <si>
    <t>IP8</t>
  </si>
  <si>
    <t>A</t>
  </si>
  <si>
    <t>B</t>
  </si>
  <si>
    <t>C</t>
  </si>
  <si>
    <t>D</t>
  </si>
  <si>
    <t>E</t>
  </si>
  <si>
    <t>IBS</t>
  </si>
  <si>
    <t>Longitudinal emittance growth time</t>
  </si>
  <si>
    <t>h</t>
  </si>
  <si>
    <t>Synchrotron radiation</t>
  </si>
  <si>
    <t>Power radiated per proton</t>
  </si>
  <si>
    <t>Power radiated per ring</t>
  </si>
  <si>
    <t>Critical energy of photons</t>
  </si>
  <si>
    <t>Power radiated/m in arc</t>
  </si>
  <si>
    <t>Longitudinal emittance damping time</t>
  </si>
  <si>
    <t>Transverse emittance damping time</t>
  </si>
  <si>
    <t>W</t>
  </si>
  <si>
    <t>W/m</t>
  </si>
  <si>
    <t>eV</t>
  </si>
  <si>
    <t>Transverse emittance growth time</t>
  </si>
  <si>
    <t>RF Voltage</t>
  </si>
  <si>
    <t>MV</t>
  </si>
  <si>
    <t>Net crossing angle IP1 &amp; IP5</t>
  </si>
  <si>
    <t>Crossing angle from spectrometer bump in IP2</t>
  </si>
  <si>
    <t>Crossing angle from spectrometer bump in IP8</t>
  </si>
  <si>
    <t>Crossing angle from external bump in IP2</t>
  </si>
  <si>
    <t>Crossing angle from external bump in IP8</t>
  </si>
  <si>
    <t>Net effective crossing angle IP2</t>
  </si>
  <si>
    <t>Net effective crossing angle IP8</t>
  </si>
  <si>
    <t>8/16</t>
  </si>
  <si>
    <t>8.57/7.09</t>
  </si>
  <si>
    <t>13.19/10.51</t>
  </si>
  <si>
    <t>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</si>
</sst>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00E+00"/>
    <numFmt numFmtId="173" formatCode="0.0000"/>
    <numFmt numFmtId="174" formatCode="0.000"/>
    <numFmt numFmtId="175" formatCode="0.00000E+00"/>
    <numFmt numFmtId="176" formatCode="0.0000E+00"/>
    <numFmt numFmtId="177" formatCode="0.000000E+00"/>
    <numFmt numFmtId="178" formatCode="0.0000000E+00"/>
    <numFmt numFmtId="179" formatCode="0.00000000E+00"/>
    <numFmt numFmtId="180" formatCode="0.000000000E+00"/>
    <numFmt numFmtId="181" formatCode="0.0000000000E+00"/>
    <numFmt numFmtId="182" formatCode="0.00000000000E+00"/>
    <numFmt numFmtId="183" formatCode="0.000000000000E+00"/>
    <numFmt numFmtId="184" formatCode="0.0000000"/>
    <numFmt numFmtId="185" formatCode="0.000000"/>
    <numFmt numFmtId="186" formatCode="0.00000"/>
    <numFmt numFmtId="187" formatCode="0.0"/>
    <numFmt numFmtId="188" formatCode="0.0E+00"/>
    <numFmt numFmtId="189" formatCode="0E+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5" width="9.00390625" style="0" bestFit="1" customWidth="1"/>
  </cols>
  <sheetData>
    <row r="1" spans="1:5" ht="12.75">
      <c r="A1" s="5" t="s">
        <v>11</v>
      </c>
      <c r="B1" s="5" t="s">
        <v>12</v>
      </c>
      <c r="C1" t="s">
        <v>23</v>
      </c>
      <c r="D1" t="s">
        <v>24</v>
      </c>
      <c r="E1" t="s">
        <v>24</v>
      </c>
    </row>
    <row r="2" spans="1:5" ht="12.75">
      <c r="A2" s="5" t="s">
        <v>81</v>
      </c>
      <c r="B2" s="5" t="s">
        <v>22</v>
      </c>
      <c r="C2" s="4">
        <v>0</v>
      </c>
      <c r="D2" s="4">
        <v>0</v>
      </c>
      <c r="E2" s="4">
        <v>0</v>
      </c>
    </row>
    <row r="3" spans="1:5" ht="12.75">
      <c r="A3" s="9" t="s">
        <v>82</v>
      </c>
      <c r="B3" s="5" t="s">
        <v>22</v>
      </c>
      <c r="C3" s="4">
        <f>E3/$C$23*$E$23</f>
        <v>2177.7777777777774</v>
      </c>
      <c r="D3" s="4">
        <f>E3/$D$23*$E$23</f>
        <v>196</v>
      </c>
      <c r="E3" s="4">
        <f>2*70</f>
        <v>140</v>
      </c>
    </row>
    <row r="4" spans="1:5" ht="12.75">
      <c r="A4" s="9" t="s">
        <v>84</v>
      </c>
      <c r="B4" s="5" t="s">
        <v>22</v>
      </c>
      <c r="C4" s="4">
        <v>0</v>
      </c>
      <c r="D4" s="4">
        <v>0</v>
      </c>
      <c r="E4" s="4">
        <v>0</v>
      </c>
    </row>
    <row r="5" spans="1:5" ht="12.75">
      <c r="A5" s="5" t="s">
        <v>86</v>
      </c>
      <c r="B5" s="5" t="s">
        <v>22</v>
      </c>
      <c r="C5" s="4">
        <f>C3+C4</f>
        <v>2177.7777777777774</v>
      </c>
      <c r="D5" s="4">
        <f>D3+D4</f>
        <v>196</v>
      </c>
      <c r="E5" s="4">
        <f>E3+E4</f>
        <v>140</v>
      </c>
    </row>
    <row r="6" spans="1:5" ht="12.75">
      <c r="A6" s="9" t="s">
        <v>83</v>
      </c>
      <c r="B6" s="5" t="s">
        <v>22</v>
      </c>
      <c r="C6" s="4">
        <f>E6/$C$23*$E$23</f>
        <v>4200</v>
      </c>
      <c r="D6" s="4">
        <f>E6/$D$23*$E$23</f>
        <v>378</v>
      </c>
      <c r="E6" s="4">
        <f>2*135</f>
        <v>270</v>
      </c>
    </row>
    <row r="7" spans="1:5" ht="12.75">
      <c r="A7" s="9" t="s">
        <v>85</v>
      </c>
      <c r="B7" s="5" t="s">
        <v>22</v>
      </c>
      <c r="C7" s="4">
        <v>0</v>
      </c>
      <c r="D7" s="4">
        <v>0</v>
      </c>
      <c r="E7" s="4">
        <v>0</v>
      </c>
    </row>
    <row r="8" spans="1:5" ht="12.75">
      <c r="A8" s="5" t="s">
        <v>87</v>
      </c>
      <c r="B8" s="5" t="s">
        <v>22</v>
      </c>
      <c r="C8" s="4">
        <f>C6+C7</f>
        <v>4200</v>
      </c>
      <c r="D8" s="4">
        <f>D6+D7</f>
        <v>378</v>
      </c>
      <c r="E8" s="4">
        <f>E6+E7</f>
        <v>270</v>
      </c>
    </row>
    <row r="9" spans="1:5" ht="12.75">
      <c r="A9" s="5" t="s">
        <v>39</v>
      </c>
      <c r="B9" t="s">
        <v>13</v>
      </c>
      <c r="C9" s="4">
        <v>5</v>
      </c>
      <c r="D9" s="4">
        <f>E9*SQRT($E$34/$D$34)</f>
        <v>5.916079808609808</v>
      </c>
      <c r="E9" s="4">
        <v>5</v>
      </c>
    </row>
    <row r="10" spans="1:5" ht="12.75">
      <c r="A10" t="s">
        <v>0</v>
      </c>
      <c r="B10" t="s">
        <v>13</v>
      </c>
      <c r="C10" s="4">
        <v>0</v>
      </c>
      <c r="D10" s="4">
        <v>0</v>
      </c>
      <c r="E10" s="4">
        <v>0</v>
      </c>
    </row>
    <row r="11" spans="1:5" ht="12.75">
      <c r="A11" s="5" t="s">
        <v>40</v>
      </c>
      <c r="B11" t="s">
        <v>13</v>
      </c>
      <c r="C11" s="4">
        <v>4</v>
      </c>
      <c r="D11" s="4">
        <f>E11*SQRT($E$34/$D$34)</f>
        <v>4.732863846887847</v>
      </c>
      <c r="E11" s="4">
        <v>4</v>
      </c>
    </row>
    <row r="12" spans="1:5" ht="12.75">
      <c r="A12" t="s">
        <v>0</v>
      </c>
      <c r="B12" t="s">
        <v>13</v>
      </c>
      <c r="C12" s="4">
        <v>0</v>
      </c>
      <c r="D12" s="4">
        <v>0</v>
      </c>
      <c r="E12" s="4">
        <v>0</v>
      </c>
    </row>
    <row r="13" spans="1:5" ht="12.75">
      <c r="A13" s="5" t="s">
        <v>41</v>
      </c>
      <c r="B13" t="s">
        <v>13</v>
      </c>
      <c r="C13" s="4">
        <v>4</v>
      </c>
      <c r="D13" s="4">
        <f>E13*SQRT($E$34/$D$34)</f>
        <v>4.732863846887847</v>
      </c>
      <c r="E13" s="4">
        <v>4</v>
      </c>
    </row>
    <row r="14" spans="1:5" ht="12.75">
      <c r="A14" t="s">
        <v>0</v>
      </c>
      <c r="B14" t="s">
        <v>13</v>
      </c>
      <c r="C14" s="4">
        <v>0</v>
      </c>
      <c r="D14" s="4">
        <v>0</v>
      </c>
      <c r="E14" s="4">
        <v>0</v>
      </c>
    </row>
    <row r="15" spans="1:5" ht="12.75">
      <c r="A15" s="5" t="s">
        <v>27</v>
      </c>
      <c r="B15" t="s">
        <v>14</v>
      </c>
      <c r="C15" s="4">
        <v>11</v>
      </c>
      <c r="D15" s="4">
        <v>3</v>
      </c>
      <c r="E15" s="4">
        <v>2</v>
      </c>
    </row>
    <row r="16" spans="1:5" ht="12.75">
      <c r="A16" s="5" t="s">
        <v>25</v>
      </c>
      <c r="B16" t="s">
        <v>14</v>
      </c>
      <c r="C16" s="4">
        <v>10</v>
      </c>
      <c r="D16" s="4">
        <v>10</v>
      </c>
      <c r="E16" s="4">
        <v>10</v>
      </c>
    </row>
    <row r="17" spans="1:5" ht="12.75">
      <c r="A17" s="5" t="s">
        <v>26</v>
      </c>
      <c r="B17" t="s">
        <v>14</v>
      </c>
      <c r="C17" s="4">
        <v>10</v>
      </c>
      <c r="D17" s="4">
        <v>6</v>
      </c>
      <c r="E17" s="4">
        <v>2</v>
      </c>
    </row>
    <row r="18" spans="1:5" ht="12.75">
      <c r="A18" s="5" t="s">
        <v>28</v>
      </c>
      <c r="C18" s="6" t="s">
        <v>32</v>
      </c>
      <c r="D18" s="6" t="s">
        <v>32</v>
      </c>
      <c r="E18" s="6" t="s">
        <v>32</v>
      </c>
    </row>
    <row r="19" spans="1:5" ht="12.75">
      <c r="A19" s="5" t="s">
        <v>29</v>
      </c>
      <c r="C19" s="6" t="s">
        <v>53</v>
      </c>
      <c r="D19" s="6" t="s">
        <v>53</v>
      </c>
      <c r="E19" s="6" t="s">
        <v>53</v>
      </c>
    </row>
    <row r="20" spans="1:5" ht="12.75">
      <c r="A20" s="5" t="s">
        <v>30</v>
      </c>
      <c r="C20" s="6" t="s">
        <v>33</v>
      </c>
      <c r="D20" s="6" t="s">
        <v>33</v>
      </c>
      <c r="E20" s="6" t="s">
        <v>33</v>
      </c>
    </row>
    <row r="21" spans="1:5" ht="12.75">
      <c r="A21" s="5" t="s">
        <v>31</v>
      </c>
      <c r="C21" s="6" t="s">
        <v>54</v>
      </c>
      <c r="D21" s="6" t="s">
        <v>54</v>
      </c>
      <c r="E21" s="6" t="s">
        <v>54</v>
      </c>
    </row>
    <row r="22" spans="3:5" ht="6.75" customHeight="1">
      <c r="C22" s="4"/>
      <c r="D22" s="4"/>
      <c r="E22" s="4"/>
    </row>
    <row r="23" spans="1:5" ht="12.75">
      <c r="A23" t="s">
        <v>1</v>
      </c>
      <c r="B23" t="s">
        <v>15</v>
      </c>
      <c r="C23" s="4">
        <v>0.45</v>
      </c>
      <c r="D23" s="4">
        <v>5</v>
      </c>
      <c r="E23" s="4">
        <v>7</v>
      </c>
    </row>
    <row r="24" spans="1:5" ht="12.75">
      <c r="A24" t="s">
        <v>2</v>
      </c>
      <c r="C24" s="2">
        <v>43</v>
      </c>
      <c r="D24" s="2">
        <f>C24</f>
        <v>43</v>
      </c>
      <c r="E24" s="2">
        <f>C24</f>
        <v>43</v>
      </c>
    </row>
    <row r="25" spans="1:5" ht="12.75">
      <c r="A25" t="s">
        <v>3</v>
      </c>
      <c r="C25" s="1">
        <v>40000000000</v>
      </c>
      <c r="D25" s="1">
        <f>C25</f>
        <v>40000000000</v>
      </c>
      <c r="E25" s="1">
        <f>C25</f>
        <v>40000000000</v>
      </c>
    </row>
    <row r="26" spans="1:5" ht="12.75">
      <c r="A26" s="5" t="s">
        <v>79</v>
      </c>
      <c r="B26" s="5" t="s">
        <v>80</v>
      </c>
      <c r="C26" s="2">
        <v>16</v>
      </c>
      <c r="D26" s="2">
        <v>16</v>
      </c>
      <c r="E26" s="2">
        <v>16</v>
      </c>
    </row>
    <row r="27" spans="1:5" ht="12.75">
      <c r="A27" t="s">
        <v>4</v>
      </c>
      <c r="B27" t="s">
        <v>16</v>
      </c>
      <c r="C27" s="4">
        <v>1</v>
      </c>
      <c r="D27" s="4">
        <v>1</v>
      </c>
      <c r="E27" s="4">
        <v>2.5</v>
      </c>
    </row>
    <row r="28" spans="1:5" ht="12.75">
      <c r="A28" t="s">
        <v>5</v>
      </c>
      <c r="B28" s="5" t="s">
        <v>21</v>
      </c>
      <c r="C28" s="4">
        <v>3.5</v>
      </c>
      <c r="D28" s="4">
        <v>3.75</v>
      </c>
      <c r="E28" s="4">
        <f>D28</f>
        <v>3.75</v>
      </c>
    </row>
    <row r="29" spans="3:5" ht="6.75" customHeight="1">
      <c r="C29" s="4"/>
      <c r="D29" s="4"/>
      <c r="E29" s="4"/>
    </row>
    <row r="30" spans="1:5" ht="12.75">
      <c r="A30" t="s">
        <v>6</v>
      </c>
      <c r="B30" t="s">
        <v>12</v>
      </c>
      <c r="C30" s="4"/>
      <c r="D30" s="4"/>
      <c r="E30" s="4"/>
    </row>
    <row r="31" spans="1:5" ht="12.75">
      <c r="A31" t="s">
        <v>7</v>
      </c>
      <c r="C31" s="1">
        <f>C25*C24</f>
        <v>1720000000000</v>
      </c>
      <c r="D31" s="1">
        <f>C31</f>
        <v>1720000000000</v>
      </c>
      <c r="E31" s="1">
        <f>C31</f>
        <v>1720000000000</v>
      </c>
    </row>
    <row r="32" spans="1:5" ht="12.75">
      <c r="A32" t="s">
        <v>8</v>
      </c>
      <c r="B32" t="s">
        <v>17</v>
      </c>
      <c r="C32" s="4">
        <f>C31*0.00000000000000000016*11245*1000</f>
        <v>3.0946239999999996</v>
      </c>
      <c r="D32" s="4">
        <f>C32</f>
        <v>3.0946239999999996</v>
      </c>
      <c r="E32" s="4">
        <f>C32</f>
        <v>3.0946239999999996</v>
      </c>
    </row>
    <row r="33" spans="1:5" ht="12.75">
      <c r="A33" t="s">
        <v>9</v>
      </c>
      <c r="B33" t="s">
        <v>18</v>
      </c>
      <c r="C33" s="4">
        <f>C31*C23*1000000000000/6240000000000000000/1000000</f>
        <v>0.12403846153846154</v>
      </c>
      <c r="D33" s="4">
        <f>D31*D23*1000000000000/6240000000000000000/1000000</f>
        <v>1.3782051282051282</v>
      </c>
      <c r="E33" s="4">
        <f>E31*E23*1000000000000/6240000000000000000/1000000</f>
        <v>1.9294871794871795</v>
      </c>
    </row>
    <row r="34" spans="1:5" ht="12.75">
      <c r="A34" t="s">
        <v>10</v>
      </c>
      <c r="C34" s="4">
        <v>479.60117645102804</v>
      </c>
      <c r="D34" s="4">
        <v>5328.901866739018</v>
      </c>
      <c r="E34" s="4">
        <v>7460.462677773797</v>
      </c>
    </row>
    <row r="35" spans="1:5" ht="12.75">
      <c r="A35" s="5" t="s">
        <v>42</v>
      </c>
      <c r="B35" t="s">
        <v>19</v>
      </c>
      <c r="C35" s="4">
        <f>1.4/4*2.9979*10</f>
        <v>10.49265</v>
      </c>
      <c r="D35" s="4">
        <f>0.721/4*2.9979*10</f>
        <v>5.403714749999999</v>
      </c>
      <c r="E35" s="4">
        <v>7.55</v>
      </c>
    </row>
    <row r="36" spans="1:5" ht="12.75">
      <c r="A36" s="5" t="s">
        <v>34</v>
      </c>
      <c r="B36" s="5" t="s">
        <v>13</v>
      </c>
      <c r="C36" s="3">
        <f aca="true" t="shared" si="0" ref="C36:E38">SQRT(C$28*C15/C$34)</f>
        <v>0.28332848858603055</v>
      </c>
      <c r="D36" s="3">
        <f t="shared" si="0"/>
        <v>0.04594702533539507</v>
      </c>
      <c r="E36" s="3">
        <f t="shared" si="0"/>
        <v>0.031706459601468166</v>
      </c>
    </row>
    <row r="37" spans="1:5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0.08388740742152416</v>
      </c>
      <c r="E37" s="3">
        <f t="shared" si="0"/>
        <v>0.07089779899473371</v>
      </c>
    </row>
    <row r="38" spans="1:5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0.06497890638001591</v>
      </c>
      <c r="E38" s="3">
        <f t="shared" si="0"/>
        <v>0.031706459601468166</v>
      </c>
    </row>
    <row r="39" spans="1:5" ht="12.75">
      <c r="A39" s="5" t="s">
        <v>52</v>
      </c>
      <c r="B39" s="5"/>
      <c r="C39" s="4"/>
      <c r="D39" s="3">
        <f>1/SQRT(1+(D2/1000000*D$35*10/2/D36)^2)</f>
        <v>1</v>
      </c>
      <c r="E39" s="3">
        <f>1/SQRT(1+(E2/1000000*E$35*10/2/E36)^2)</f>
        <v>1</v>
      </c>
    </row>
    <row r="40" spans="1:5" ht="12.75">
      <c r="A40" s="5" t="s">
        <v>37</v>
      </c>
      <c r="B40" s="5"/>
      <c r="C40" s="4"/>
      <c r="D40" s="3">
        <f>1/SQRT(1+(D5/1000000*D$35*10/2/D37)^2)</f>
        <v>0.9980133664577789</v>
      </c>
      <c r="E40" s="3">
        <f>1/SQRT(1+(E5/1000000*E$35*10/2/E37)^2)</f>
        <v>0.9972331277288644</v>
      </c>
    </row>
    <row r="41" spans="1:5" ht="12.75">
      <c r="A41" s="5" t="s">
        <v>38</v>
      </c>
      <c r="C41" s="4"/>
      <c r="D41" s="3">
        <f>1/SQRT(1+(D8/1000000*D$35*10/2/D38)^2)</f>
        <v>0.9878723457243124</v>
      </c>
      <c r="E41" s="3">
        <f>1/SQRT(1+(E8/1000000*E$35*10/2/E38)^2)</f>
        <v>0.9520186062976324</v>
      </c>
    </row>
    <row r="42" spans="1:5" ht="12.75">
      <c r="A42" s="5" t="s">
        <v>43</v>
      </c>
      <c r="C42" s="4"/>
      <c r="D42" s="2">
        <v>43</v>
      </c>
      <c r="E42" s="2">
        <f>D42</f>
        <v>43</v>
      </c>
    </row>
    <row r="43" spans="1:5" ht="12.75">
      <c r="A43" s="5" t="s">
        <v>44</v>
      </c>
      <c r="C43" s="4"/>
      <c r="D43" s="2">
        <v>4</v>
      </c>
      <c r="E43" s="2">
        <f>D43</f>
        <v>4</v>
      </c>
    </row>
    <row r="44" spans="1:5" ht="12.75">
      <c r="A44" s="5" t="s">
        <v>45</v>
      </c>
      <c r="C44" s="4"/>
      <c r="D44" s="2">
        <v>19</v>
      </c>
      <c r="E44" s="2">
        <f>D44</f>
        <v>19</v>
      </c>
    </row>
    <row r="45" spans="1:5" ht="12.75">
      <c r="A45" s="5" t="s">
        <v>46</v>
      </c>
      <c r="B45" t="s">
        <v>20</v>
      </c>
      <c r="C45" s="4"/>
      <c r="D45" s="1">
        <f aca="true" t="shared" si="1" ref="D45:E47">D$25^2*D42*11245*D$34/4/PI()/(D$28/1000000*100)/(D15*100)*D39</f>
        <v>2.9162398094149464E+30</v>
      </c>
      <c r="E45" s="1">
        <f t="shared" si="1"/>
        <v>6.124103652585772E+30</v>
      </c>
    </row>
    <row r="46" spans="1:5" ht="12.75">
      <c r="A46" s="5" t="s">
        <v>47</v>
      </c>
      <c r="B46" t="s">
        <v>20</v>
      </c>
      <c r="C46" s="4"/>
      <c r="D46" s="1">
        <f t="shared" si="1"/>
        <v>8.122175747699727E+28</v>
      </c>
      <c r="E46" s="1">
        <f t="shared" si="1"/>
        <v>1.1362156353495577E+29</v>
      </c>
    </row>
    <row r="47" spans="1:5" ht="12.75">
      <c r="A47" s="5" t="s">
        <v>48</v>
      </c>
      <c r="B47" t="s">
        <v>20</v>
      </c>
      <c r="C47" s="4"/>
      <c r="D47" s="1">
        <f t="shared" si="1"/>
        <v>6.364718670140223E+29</v>
      </c>
      <c r="E47" s="1">
        <f t="shared" si="1"/>
        <v>2.576161671139116E+30</v>
      </c>
    </row>
    <row r="48" spans="1:5" ht="12.75">
      <c r="A48" s="5" t="s">
        <v>49</v>
      </c>
      <c r="C48" s="4"/>
      <c r="D48" s="4">
        <f aca="true" t="shared" si="2" ref="D48:E50">D45*60/1000*1E-24/D42/(11245)</f>
        <v>0.3618649912930745</v>
      </c>
      <c r="E48" s="4">
        <f t="shared" si="2"/>
        <v>0.7599164882689904</v>
      </c>
    </row>
    <row r="49" spans="1:5" ht="12.75">
      <c r="A49" s="5" t="s">
        <v>50</v>
      </c>
      <c r="D49" s="4">
        <f t="shared" si="2"/>
        <v>0.10834382944908483</v>
      </c>
      <c r="E49" s="4">
        <f t="shared" si="2"/>
        <v>0.15156277928184406</v>
      </c>
    </row>
    <row r="50" spans="1:5" ht="12.75">
      <c r="A50" s="5" t="s">
        <v>51</v>
      </c>
      <c r="D50" s="4">
        <f t="shared" si="2"/>
        <v>0.17873820889209865</v>
      </c>
      <c r="E50" s="4">
        <f t="shared" si="2"/>
        <v>0.7234546360644355</v>
      </c>
    </row>
    <row r="51" ht="4.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 t="s">
        <v>63</v>
      </c>
      <c r="F52" s="5" t="s">
        <v>64</v>
      </c>
    </row>
    <row r="53" spans="1:6" ht="12.75">
      <c r="A53" s="5" t="s">
        <v>56</v>
      </c>
      <c r="B53">
        <v>43</v>
      </c>
      <c r="C53">
        <v>39</v>
      </c>
      <c r="D53">
        <v>43</v>
      </c>
      <c r="E53">
        <v>43</v>
      </c>
      <c r="F53" s="7">
        <v>43</v>
      </c>
    </row>
    <row r="54" spans="1:6" ht="12.75">
      <c r="A54" s="5" t="s">
        <v>57</v>
      </c>
      <c r="B54">
        <v>42</v>
      </c>
      <c r="C54">
        <v>38</v>
      </c>
      <c r="D54">
        <v>34</v>
      </c>
      <c r="E54">
        <v>21</v>
      </c>
      <c r="F54" s="7">
        <v>4</v>
      </c>
    </row>
    <row r="55" spans="1:6" ht="12.75">
      <c r="A55" s="5" t="s">
        <v>58</v>
      </c>
      <c r="B55">
        <f>B53</f>
        <v>43</v>
      </c>
      <c r="C55">
        <f>C53</f>
        <v>39</v>
      </c>
      <c r="D55">
        <f>D53</f>
        <v>43</v>
      </c>
      <c r="E55">
        <f>E53</f>
        <v>43</v>
      </c>
      <c r="F55" s="7">
        <f>F53</f>
        <v>43</v>
      </c>
    </row>
    <row r="56" spans="1:6" ht="12.75">
      <c r="A56" s="5" t="s">
        <v>59</v>
      </c>
      <c r="B56">
        <v>0</v>
      </c>
      <c r="C56">
        <v>4</v>
      </c>
      <c r="D56">
        <v>4</v>
      </c>
      <c r="E56">
        <v>11</v>
      </c>
      <c r="F56" s="7">
        <v>19</v>
      </c>
    </row>
    <row r="57" ht="6.75" customHeight="1"/>
    <row r="58" ht="12.75">
      <c r="A58" t="s">
        <v>65</v>
      </c>
    </row>
    <row r="59" spans="1:5" ht="12.75">
      <c r="A59" t="s">
        <v>66</v>
      </c>
      <c r="B59" t="s">
        <v>67</v>
      </c>
      <c r="D59">
        <v>44</v>
      </c>
      <c r="E59">
        <v>40</v>
      </c>
    </row>
    <row r="60" spans="1:5" ht="12.75">
      <c r="A60" s="5" t="s">
        <v>78</v>
      </c>
      <c r="B60" t="s">
        <v>67</v>
      </c>
      <c r="D60">
        <v>158</v>
      </c>
      <c r="E60">
        <v>167</v>
      </c>
    </row>
    <row r="61" ht="6.75" customHeight="1"/>
    <row r="62" ht="12.75">
      <c r="A62" t="s">
        <v>68</v>
      </c>
    </row>
    <row r="63" spans="1:5" ht="12.75">
      <c r="A63" t="s">
        <v>69</v>
      </c>
      <c r="B63" t="s">
        <v>75</v>
      </c>
      <c r="D63" s="1">
        <v>4.796E-12</v>
      </c>
      <c r="E63" s="1">
        <v>1.8426E-11</v>
      </c>
    </row>
    <row r="64" spans="1:5" ht="12.75">
      <c r="A64" t="s">
        <v>72</v>
      </c>
      <c r="B64" t="s">
        <v>76</v>
      </c>
      <c r="D64" s="1">
        <v>0.000309</v>
      </c>
      <c r="E64" s="1">
        <v>0.0011888</v>
      </c>
    </row>
    <row r="65" spans="1:5" ht="12.75">
      <c r="A65" t="s">
        <v>70</v>
      </c>
      <c r="B65" t="s">
        <v>75</v>
      </c>
      <c r="D65" s="4">
        <v>5.4138</v>
      </c>
      <c r="E65" s="4">
        <v>20.7978</v>
      </c>
    </row>
    <row r="66" spans="1:5" ht="12.75">
      <c r="A66" t="s">
        <v>71</v>
      </c>
      <c r="B66" t="s">
        <v>77</v>
      </c>
      <c r="D66" s="4">
        <v>16.087</v>
      </c>
      <c r="E66" s="4">
        <v>44.1435</v>
      </c>
    </row>
    <row r="67" spans="1:5" ht="12.75">
      <c r="A67" t="s">
        <v>73</v>
      </c>
      <c r="B67" t="s">
        <v>67</v>
      </c>
      <c r="D67" s="4">
        <v>35.3486</v>
      </c>
      <c r="E67" s="4">
        <v>12.8821</v>
      </c>
    </row>
    <row r="68" spans="1:5" ht="12.75">
      <c r="A68" t="s">
        <v>74</v>
      </c>
      <c r="B68" t="s">
        <v>67</v>
      </c>
      <c r="D68" s="4">
        <v>70.6971</v>
      </c>
      <c r="E68" s="4">
        <v>25.7643</v>
      </c>
    </row>
  </sheetData>
  <sheetProtection/>
  <printOptions/>
  <pageMargins left="0.7" right="0.7" top="0.3" bottom="0.31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250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2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2</v>
      </c>
    </row>
    <row r="18" spans="1:4" ht="12.75">
      <c r="A18" s="5" t="s">
        <v>28</v>
      </c>
      <c r="C18" s="6" t="s">
        <v>53</v>
      </c>
      <c r="D18" s="6" t="s">
        <v>53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54</v>
      </c>
      <c r="D20" s="6" t="s">
        <v>54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1333</v>
      </c>
      <c r="D24" s="2">
        <f>C24</f>
        <v>1333</v>
      </c>
    </row>
    <row r="25" spans="1:4" ht="12.75">
      <c r="A25" t="s">
        <v>3</v>
      </c>
      <c r="C25" s="1">
        <v>40000000000</v>
      </c>
      <c r="D25" s="1">
        <f>C25</f>
        <v>40000000000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53320000000000</v>
      </c>
      <c r="D31" s="1">
        <f>C31</f>
        <v>53320000000000</v>
      </c>
    </row>
    <row r="32" spans="1:4" ht="12.75">
      <c r="A32" t="s">
        <v>8</v>
      </c>
      <c r="B32" t="s">
        <v>17</v>
      </c>
      <c r="C32" s="4">
        <f>C31*0.00000000000000000016*11245*1000</f>
        <v>95.93334399999999</v>
      </c>
      <c r="D32" s="4">
        <f>C32</f>
        <v>95.93334399999999</v>
      </c>
    </row>
    <row r="33" spans="1:4" ht="12.75">
      <c r="A33" t="s">
        <v>9</v>
      </c>
      <c r="B33" t="s">
        <v>18</v>
      </c>
      <c r="C33" s="4">
        <f>C31*C23*1000000000000/6240000000000000000/1000000</f>
        <v>3.845192307692308</v>
      </c>
      <c r="D33" s="4">
        <f>D31*D23*1000000000000/6240000000000000000/1000000</f>
        <v>59.81410256410257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0.031706459601468166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0.031706459601468166</v>
      </c>
    </row>
    <row r="39" spans="1:4" ht="12.75">
      <c r="A39" s="5" t="s">
        <v>52</v>
      </c>
      <c r="B39" s="5"/>
      <c r="C39" s="4"/>
      <c r="D39" s="3">
        <f>1/SQRT(1+(D2/1000000*D$35*10/2/D36)^2)</f>
        <v>0.9584433697000857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0.9028418834291021</v>
      </c>
    </row>
    <row r="42" spans="1:4" ht="12.75">
      <c r="A42" s="5" t="s">
        <v>43</v>
      </c>
      <c r="C42" s="4"/>
      <c r="D42" s="2">
        <v>1333</v>
      </c>
    </row>
    <row r="43" spans="1:4" ht="12.75">
      <c r="A43" s="5" t="s">
        <v>44</v>
      </c>
      <c r="C43" s="4"/>
      <c r="D43" s="2">
        <v>2</v>
      </c>
    </row>
    <row r="44" spans="1:4" ht="12.75">
      <c r="A44" s="5" t="s">
        <v>45</v>
      </c>
      <c r="C44" s="4"/>
      <c r="D44" s="2">
        <v>1173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1.819578027764842E+32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5.625522538392454E+28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1.508286303434018E+32</v>
      </c>
    </row>
    <row r="48" spans="1:4" ht="12.75">
      <c r="A48" s="5" t="s">
        <v>49</v>
      </c>
      <c r="C48" s="4"/>
      <c r="D48" s="4">
        <f>D45*60/1000*1E-24/D42/(11245)</f>
        <v>0.7283369197071868</v>
      </c>
    </row>
    <row r="49" spans="1:4" ht="12.75">
      <c r="A49" s="5" t="s">
        <v>50</v>
      </c>
      <c r="D49" s="4">
        <f>D46*60/1000*1E-24/D43/(11245)</f>
        <v>0.15008063686240428</v>
      </c>
    </row>
    <row r="50" spans="1:4" ht="12.75">
      <c r="A50" s="5" t="s">
        <v>51</v>
      </c>
      <c r="D50" s="4">
        <f>D47*60/1000*1E-24/D44/(11245)</f>
        <v>0.6860844335176044</v>
      </c>
    </row>
    <row r="51" ht="6.7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 t="s">
        <v>63</v>
      </c>
      <c r="F52" s="5" t="s">
        <v>64</v>
      </c>
    </row>
    <row r="53" spans="1:6" ht="12.75">
      <c r="A53" s="5" t="s">
        <v>56</v>
      </c>
      <c r="B53">
        <v>1404</v>
      </c>
      <c r="C53">
        <v>1404</v>
      </c>
      <c r="D53">
        <v>1404</v>
      </c>
      <c r="E53">
        <v>1404</v>
      </c>
      <c r="F53" s="7">
        <v>1333</v>
      </c>
    </row>
    <row r="54" spans="1:6" ht="12.75">
      <c r="A54" s="5" t="s">
        <v>57</v>
      </c>
      <c r="B54">
        <v>1368</v>
      </c>
      <c r="C54">
        <v>684</v>
      </c>
      <c r="D54">
        <v>0</v>
      </c>
      <c r="E54">
        <v>72</v>
      </c>
      <c r="F54" s="7">
        <v>2</v>
      </c>
    </row>
    <row r="55" spans="1:6" ht="12.75">
      <c r="A55" s="5" t="s">
        <v>58</v>
      </c>
      <c r="B55">
        <f>B53</f>
        <v>1404</v>
      </c>
      <c r="C55">
        <f>C53</f>
        <v>1404</v>
      </c>
      <c r="D55">
        <f>D53</f>
        <v>1404</v>
      </c>
      <c r="E55">
        <f>E53</f>
        <v>1404</v>
      </c>
      <c r="F55" s="7">
        <f>F53</f>
        <v>1333</v>
      </c>
    </row>
    <row r="56" spans="1:6" ht="12.75">
      <c r="A56" s="5" t="s">
        <v>59</v>
      </c>
      <c r="B56">
        <v>0</v>
      </c>
      <c r="C56">
        <v>655</v>
      </c>
      <c r="D56">
        <v>1311</v>
      </c>
      <c r="E56">
        <v>1242</v>
      </c>
      <c r="F56" s="7">
        <v>1173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250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1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10</v>
      </c>
    </row>
    <row r="18" spans="1:4" ht="12.75">
      <c r="A18" s="5" t="s">
        <v>28</v>
      </c>
      <c r="C18" s="6" t="s">
        <v>53</v>
      </c>
      <c r="D18" s="6" t="s">
        <v>53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54</v>
      </c>
      <c r="D20" s="6" t="s">
        <v>54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2808</v>
      </c>
      <c r="D24" s="2">
        <f>C24</f>
        <v>2808</v>
      </c>
    </row>
    <row r="25" spans="1:4" ht="12.75">
      <c r="A25" t="s">
        <v>3</v>
      </c>
      <c r="C25" s="1">
        <v>50000000000</v>
      </c>
      <c r="D25" s="1">
        <f>C25</f>
        <v>50000000000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140400000000000</v>
      </c>
      <c r="D31" s="1">
        <f>C31</f>
        <v>140400000000000</v>
      </c>
    </row>
    <row r="32" spans="1:4" ht="12.75">
      <c r="A32" t="s">
        <v>8</v>
      </c>
      <c r="B32" t="s">
        <v>17</v>
      </c>
      <c r="C32" s="4">
        <f>C31*0.00000000000000000016*11245*1000</f>
        <v>252.60768</v>
      </c>
      <c r="D32" s="4">
        <f>C32</f>
        <v>252.60768</v>
      </c>
    </row>
    <row r="33" spans="1:4" ht="12.75">
      <c r="A33" t="s">
        <v>9</v>
      </c>
      <c r="B33" t="s">
        <v>18</v>
      </c>
      <c r="C33" s="4">
        <f>C31*C23*1000000000000/6240000000000000000/1000000</f>
        <v>10.125</v>
      </c>
      <c r="D33" s="4">
        <f>D31*D23*1000000000000/6240000000000000000/1000000</f>
        <v>157.5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0.02241985259161546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0.07089779899473371</v>
      </c>
    </row>
    <row r="39" spans="1:4" ht="12.75">
      <c r="A39" s="5" t="s">
        <v>52</v>
      </c>
      <c r="B39" s="5"/>
      <c r="C39" s="4"/>
      <c r="D39" s="3">
        <f>1/SQRT(1+(D2/1000000*D$35*10/2/D36)^2)</f>
        <v>0.9216712154772952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0.9780627706393429</v>
      </c>
    </row>
    <row r="42" spans="1:4" ht="12.75">
      <c r="A42" s="5" t="s">
        <v>43</v>
      </c>
      <c r="C42" s="4"/>
      <c r="D42" s="2">
        <v>2808</v>
      </c>
    </row>
    <row r="43" spans="1:4" ht="12.75">
      <c r="A43" s="5" t="s">
        <v>44</v>
      </c>
      <c r="C43" s="4"/>
      <c r="D43" s="2">
        <v>2736</v>
      </c>
    </row>
    <row r="44" spans="1:4" ht="12.75">
      <c r="A44" s="5" t="s">
        <v>45</v>
      </c>
      <c r="C44" s="4"/>
      <c r="D44" s="2">
        <v>2622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1.1518534477167863E+33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1.2024554425813869E+32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1.1413622758164483E+32</v>
      </c>
    </row>
    <row r="48" spans="1:4" ht="12.75">
      <c r="A48" s="5" t="s">
        <v>49</v>
      </c>
      <c r="C48" s="4"/>
      <c r="D48" s="4">
        <f>D45*60/1000*1E-24/D42/(11245)</f>
        <v>2.188728604387869</v>
      </c>
    </row>
    <row r="49" spans="1:4" ht="12.75">
      <c r="A49" s="5" t="s">
        <v>50</v>
      </c>
      <c r="D49" s="4">
        <f>D46*60/1000*1E-24/D43/(11245)</f>
        <v>0.23450099509750663</v>
      </c>
    </row>
    <row r="50" spans="1:4" ht="12.75">
      <c r="A50" s="5" t="s">
        <v>51</v>
      </c>
      <c r="D50" s="4">
        <f>D47*60/1000*1E-24/D44/(11245)</f>
        <v>0.23226438311590264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250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0.55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10</v>
      </c>
    </row>
    <row r="18" spans="1:4" ht="12.75">
      <c r="A18" s="5" t="s">
        <v>28</v>
      </c>
      <c r="C18" s="6" t="s">
        <v>53</v>
      </c>
      <c r="D18" s="6" t="s">
        <v>53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54</v>
      </c>
      <c r="D20" s="6" t="s">
        <v>54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2808</v>
      </c>
      <c r="D24" s="2">
        <f>C24</f>
        <v>2808</v>
      </c>
    </row>
    <row r="25" spans="1:4" ht="12.75">
      <c r="A25" t="s">
        <v>3</v>
      </c>
      <c r="C25" s="1">
        <v>50000000000</v>
      </c>
      <c r="D25" s="1">
        <f>C25</f>
        <v>50000000000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140400000000000</v>
      </c>
      <c r="D31" s="1">
        <f>C31</f>
        <v>140400000000000</v>
      </c>
    </row>
    <row r="32" spans="1:4" ht="12.75">
      <c r="A32" t="s">
        <v>8</v>
      </c>
      <c r="B32" t="s">
        <v>17</v>
      </c>
      <c r="C32" s="4">
        <f>C31*0.00000000000000000016*11245*1000</f>
        <v>252.60768</v>
      </c>
      <c r="D32" s="4">
        <f>C32</f>
        <v>252.60768</v>
      </c>
    </row>
    <row r="33" spans="1:4" ht="12.75">
      <c r="A33" t="s">
        <v>9</v>
      </c>
      <c r="B33" t="s">
        <v>18</v>
      </c>
      <c r="C33" s="4">
        <f>C31*C23*1000000000000/6240000000000000000/1000000</f>
        <v>10.125</v>
      </c>
      <c r="D33" s="4">
        <f>D31*D23*1000000000000/6240000000000000000/1000000</f>
        <v>157.5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0.016627007687084635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0.07089779899473371</v>
      </c>
    </row>
    <row r="39" spans="1:4" ht="12.75">
      <c r="A39" s="5" t="s">
        <v>52</v>
      </c>
      <c r="B39" s="5"/>
      <c r="C39" s="4"/>
      <c r="D39" s="3">
        <f>1/SQRT(1+(D2/1000000*D$35*10/2/D36)^2)</f>
        <v>0.8696735724586312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0.9780627706393429</v>
      </c>
    </row>
    <row r="42" spans="1:4" ht="12.75">
      <c r="A42" s="5" t="s">
        <v>43</v>
      </c>
      <c r="C42" s="4"/>
      <c r="D42" s="2">
        <v>2808</v>
      </c>
    </row>
    <row r="43" spans="1:4" ht="12.75">
      <c r="A43" s="5" t="s">
        <v>44</v>
      </c>
      <c r="C43" s="4"/>
      <c r="D43" s="2">
        <v>2736</v>
      </c>
    </row>
    <row r="44" spans="1:4" ht="12.75">
      <c r="A44" s="5" t="s">
        <v>45</v>
      </c>
      <c r="C44" s="4"/>
      <c r="D44" s="2">
        <v>2622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1.9761266983927885E+33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1.2024554425813869E+32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1.1413622758164483E+32</v>
      </c>
    </row>
    <row r="48" spans="1:4" ht="12.75">
      <c r="A48" s="5" t="s">
        <v>49</v>
      </c>
      <c r="C48" s="4"/>
      <c r="D48" s="4">
        <f>D45*60/1000*1E-24/D42/(11245)</f>
        <v>3.7549959495631264</v>
      </c>
    </row>
    <row r="49" spans="1:4" ht="12.75">
      <c r="A49" s="5" t="s">
        <v>50</v>
      </c>
      <c r="D49" s="4">
        <f>D46*60/1000*1E-24/D43/(11245)</f>
        <v>0.23450099509750663</v>
      </c>
    </row>
    <row r="50" spans="1:4" ht="12.75">
      <c r="A50" s="5" t="s">
        <v>51</v>
      </c>
      <c r="D50" s="4">
        <f>D47*60/1000*1E-24/D44/(11245)</f>
        <v>0.23226438311590264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  <headerFooter>
    <oddFooter>&amp;LCompiled by M. Giovannozzi&amp;Cwith input from: W. Herr, J. Jowett,&amp;RE. Métral, and E. Shaposhnikova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  <col min="5" max="5" width="7.8515625" style="0" bestFit="1" customWidth="1"/>
    <col min="6" max="6" width="8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285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1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10</v>
      </c>
    </row>
    <row r="18" spans="1:4" ht="12.75">
      <c r="A18" s="5" t="s">
        <v>28</v>
      </c>
      <c r="C18" s="6" t="s">
        <v>53</v>
      </c>
      <c r="D18" s="6" t="s">
        <v>53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54</v>
      </c>
      <c r="D20" s="6" t="s">
        <v>54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2808</v>
      </c>
      <c r="D24" s="2">
        <f>C24</f>
        <v>2808</v>
      </c>
    </row>
    <row r="25" spans="1:4" ht="12.75">
      <c r="A25" t="s">
        <v>3</v>
      </c>
      <c r="C25" s="1">
        <v>90000000000</v>
      </c>
      <c r="D25" s="1">
        <f>C25</f>
        <v>90000000000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252720000000000</v>
      </c>
      <c r="D31" s="1">
        <f>C31</f>
        <v>252720000000000</v>
      </c>
    </row>
    <row r="32" spans="1:4" ht="12.75">
      <c r="A32" t="s">
        <v>8</v>
      </c>
      <c r="B32" t="s">
        <v>17</v>
      </c>
      <c r="C32" s="4">
        <f>C31*0.00000000000000000016*11245*1000</f>
        <v>454.69382399999995</v>
      </c>
      <c r="D32" s="4">
        <f>C32</f>
        <v>454.69382399999995</v>
      </c>
    </row>
    <row r="33" spans="1:4" ht="12.75">
      <c r="A33" t="s">
        <v>9</v>
      </c>
      <c r="B33" t="s">
        <v>18</v>
      </c>
      <c r="C33" s="4">
        <f>C31*C23*1000000000000/6240000000000000000/1000000</f>
        <v>18.225</v>
      </c>
      <c r="D33" s="4">
        <f>D31*D23*1000000000000/6240000000000000000/1000000</f>
        <v>283.5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0.02241985259161546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0.07089779899473371</v>
      </c>
    </row>
    <row r="39" spans="1:4" ht="12.75">
      <c r="A39" s="5" t="s">
        <v>52</v>
      </c>
      <c r="B39" s="5"/>
      <c r="C39" s="4"/>
      <c r="D39" s="3">
        <f>1/SQRT(1+(D2/1000000*D$35*10/2/D36)^2)</f>
        <v>0.9015666529109088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0.9780627706393429</v>
      </c>
    </row>
    <row r="42" spans="1:4" ht="12.75">
      <c r="A42" s="5" t="s">
        <v>43</v>
      </c>
      <c r="C42" s="4"/>
      <c r="D42" s="2">
        <v>2808</v>
      </c>
    </row>
    <row r="43" spans="1:4" ht="12.75">
      <c r="A43" s="5" t="s">
        <v>44</v>
      </c>
      <c r="C43" s="4"/>
      <c r="D43" s="2">
        <v>2736</v>
      </c>
    </row>
    <row r="44" spans="1:4" ht="12.75">
      <c r="A44" s="5" t="s">
        <v>45</v>
      </c>
      <c r="C44" s="4"/>
      <c r="D44" s="2">
        <v>2622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3.6505983411490034E+33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3.8959556339636936E+32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3.698013773645293E+32</v>
      </c>
    </row>
    <row r="48" spans="1:4" ht="12.75">
      <c r="A48" s="5" t="s">
        <v>49</v>
      </c>
      <c r="C48" s="4"/>
      <c r="D48" s="4">
        <f>D45*60/1000*1E-24/D42/(11245)</f>
        <v>6.936793068807414</v>
      </c>
    </row>
    <row r="49" spans="1:4" ht="12.75">
      <c r="A49" s="5" t="s">
        <v>50</v>
      </c>
      <c r="D49" s="4">
        <f>D46*60/1000*1E-24/D43/(11245)</f>
        <v>0.7597832241159216</v>
      </c>
    </row>
    <row r="50" spans="1:4" ht="12.75">
      <c r="A50" s="5" t="s">
        <v>51</v>
      </c>
      <c r="D50" s="4">
        <f>D47*60/1000*1E-24/D44/(11245)</f>
        <v>0.7525366012955247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  <headerFooter>
    <oddFooter>&amp;LCompiled by M. Giovannozzi&amp;Cwith input from: W. Herr, J. Jowett,&amp;RE. Métral, and E. Shaposhnikova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  <col min="5" max="5" width="7.8515625" style="0" bestFit="1" customWidth="1"/>
    <col min="6" max="6" width="8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285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0.55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10</v>
      </c>
    </row>
    <row r="18" spans="1:6" ht="12.75">
      <c r="A18" s="5" t="s">
        <v>28</v>
      </c>
      <c r="C18" s="6" t="s">
        <v>53</v>
      </c>
      <c r="D18" s="6" t="s">
        <v>53</v>
      </c>
      <c r="E18" s="6"/>
      <c r="F18" s="6"/>
    </row>
    <row r="19" spans="1:6" ht="12.75">
      <c r="A19" s="5" t="s">
        <v>29</v>
      </c>
      <c r="C19" s="6" t="s">
        <v>53</v>
      </c>
      <c r="D19" s="6" t="s">
        <v>53</v>
      </c>
      <c r="E19" s="6"/>
      <c r="F19" s="6"/>
    </row>
    <row r="20" spans="1:6" ht="12.75">
      <c r="A20" s="5" t="s">
        <v>30</v>
      </c>
      <c r="C20" s="6" t="s">
        <v>54</v>
      </c>
      <c r="D20" s="6" t="s">
        <v>54</v>
      </c>
      <c r="E20" s="6"/>
      <c r="F20" s="6"/>
    </row>
    <row r="21" spans="1:6" ht="12.75">
      <c r="A21" s="5" t="s">
        <v>31</v>
      </c>
      <c r="C21" s="6" t="s">
        <v>54</v>
      </c>
      <c r="D21" s="6" t="s">
        <v>54</v>
      </c>
      <c r="E21" s="6"/>
      <c r="F21" s="6"/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2808</v>
      </c>
      <c r="D24" s="2">
        <f>C24</f>
        <v>2808</v>
      </c>
    </row>
    <row r="25" spans="1:4" ht="12.75">
      <c r="A25" t="s">
        <v>3</v>
      </c>
      <c r="C25" s="1">
        <v>115000000000</v>
      </c>
      <c r="D25" s="1">
        <f>C25</f>
        <v>115000000000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322920000000000</v>
      </c>
      <c r="D31" s="1">
        <f>C31</f>
        <v>322920000000000</v>
      </c>
    </row>
    <row r="32" spans="1:4" ht="12.75">
      <c r="A32" t="s">
        <v>8</v>
      </c>
      <c r="B32" t="s">
        <v>17</v>
      </c>
      <c r="C32" s="4">
        <f>C31*0.00000000000000000016*11245*1000</f>
        <v>580.997664</v>
      </c>
      <c r="D32" s="4">
        <f>C32</f>
        <v>580.997664</v>
      </c>
    </row>
    <row r="33" spans="1:4" ht="12.75">
      <c r="A33" t="s">
        <v>9</v>
      </c>
      <c r="B33" t="s">
        <v>18</v>
      </c>
      <c r="C33" s="4">
        <f>C31*C23*1000000000000/6240000000000000000/1000000</f>
        <v>23.2875</v>
      </c>
      <c r="D33" s="4">
        <f>D31*D23*1000000000000/6240000000000000000/1000000</f>
        <v>362.25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0.016627007687084635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0.07089779899473371</v>
      </c>
    </row>
    <row r="39" spans="1:4" ht="12.75">
      <c r="A39" s="5" t="s">
        <v>52</v>
      </c>
      <c r="B39" s="5"/>
      <c r="C39" s="4"/>
      <c r="D39" s="3">
        <f>1/SQRT(1+(D2/1000000*D$35*10/2/D36)^2)</f>
        <v>0.8395679009319609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0.9780627706393429</v>
      </c>
    </row>
    <row r="42" spans="1:4" ht="12.75">
      <c r="A42" s="5" t="s">
        <v>43</v>
      </c>
      <c r="C42" s="4"/>
      <c r="D42" s="2">
        <v>2808</v>
      </c>
    </row>
    <row r="43" spans="1:4" ht="12.75">
      <c r="A43" s="5" t="s">
        <v>44</v>
      </c>
      <c r="C43" s="4"/>
      <c r="D43" s="2">
        <v>2736</v>
      </c>
    </row>
    <row r="44" spans="1:4" ht="12.75">
      <c r="A44" s="5" t="s">
        <v>45</v>
      </c>
      <c r="C44" s="4"/>
      <c r="D44" s="2">
        <v>2622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1.0091831966005618E+34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6.360989291255538E+32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6.0378064390690116E+32</v>
      </c>
    </row>
    <row r="48" spans="1:4" ht="12.75">
      <c r="A48" s="5" t="s">
        <v>49</v>
      </c>
      <c r="C48" s="4"/>
      <c r="D48" s="4">
        <f>D45*60/1000*1E-24/D42/(11245)</f>
        <v>19.176294812899968</v>
      </c>
    </row>
    <row r="49" spans="1:4" ht="12.75">
      <c r="A49" s="5" t="s">
        <v>50</v>
      </c>
      <c r="D49" s="4">
        <f>D46*60/1000*1E-24/D43/(11245)</f>
        <v>1.2405102640658103</v>
      </c>
    </row>
    <row r="50" spans="1:4" ht="12.75">
      <c r="A50" s="5" t="s">
        <v>51</v>
      </c>
      <c r="D50" s="4">
        <f>D47*60/1000*1E-24/D44/(11245)</f>
        <v>1.2286785866831254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3" width="9.00390625" style="0" bestFit="1" customWidth="1"/>
    <col min="4" max="4" width="9.57421875" style="0" bestFit="1" customWidth="1"/>
    <col min="5" max="5" width="9.00390625" style="0" bestFit="1" customWidth="1"/>
  </cols>
  <sheetData>
    <row r="1" spans="1:5" ht="12.75">
      <c r="A1" s="5" t="s">
        <v>11</v>
      </c>
      <c r="B1" s="5" t="s">
        <v>12</v>
      </c>
      <c r="C1" t="s">
        <v>23</v>
      </c>
      <c r="D1" t="s">
        <v>24</v>
      </c>
      <c r="E1" t="s">
        <v>24</v>
      </c>
    </row>
    <row r="2" spans="1:5" ht="12.75">
      <c r="A2" s="5" t="s">
        <v>81</v>
      </c>
      <c r="B2" s="5" t="s">
        <v>22</v>
      </c>
      <c r="C2" s="4">
        <v>0</v>
      </c>
      <c r="D2" s="4">
        <v>0</v>
      </c>
      <c r="E2" s="4">
        <v>0</v>
      </c>
    </row>
    <row r="3" spans="1:5" ht="12.75">
      <c r="A3" s="9" t="s">
        <v>82</v>
      </c>
      <c r="B3" s="5" t="s">
        <v>22</v>
      </c>
      <c r="C3" s="4">
        <f>E3/$C$23*$E$23</f>
        <v>2177.7777777777774</v>
      </c>
      <c r="D3" s="4">
        <f>E3/$D$23*$E$23</f>
        <v>196</v>
      </c>
      <c r="E3" s="4">
        <f>2*70</f>
        <v>140</v>
      </c>
    </row>
    <row r="4" spans="1:5" ht="12.75">
      <c r="A4" s="9" t="s">
        <v>84</v>
      </c>
      <c r="B4" s="5" t="s">
        <v>22</v>
      </c>
      <c r="C4" s="4">
        <v>0</v>
      </c>
      <c r="D4" s="4">
        <v>0</v>
      </c>
      <c r="E4" s="4">
        <v>0</v>
      </c>
    </row>
    <row r="5" spans="1:5" ht="12.75">
      <c r="A5" s="5" t="s">
        <v>86</v>
      </c>
      <c r="B5" s="5" t="s">
        <v>22</v>
      </c>
      <c r="C5" s="4">
        <f>C3+C4</f>
        <v>2177.7777777777774</v>
      </c>
      <c r="D5" s="4">
        <f>D3+D4</f>
        <v>196</v>
      </c>
      <c r="E5" s="4">
        <f>E3+E4</f>
        <v>140</v>
      </c>
    </row>
    <row r="6" spans="1:5" ht="12.75">
      <c r="A6" s="9" t="s">
        <v>83</v>
      </c>
      <c r="B6" s="5" t="s">
        <v>22</v>
      </c>
      <c r="C6" s="4">
        <f>E6/$C$23*$E$23</f>
        <v>4200</v>
      </c>
      <c r="D6" s="4">
        <f>E6/$D$23*$E$23</f>
        <v>378</v>
      </c>
      <c r="E6" s="4">
        <f>2*135</f>
        <v>270</v>
      </c>
    </row>
    <row r="7" spans="1:5" ht="12.75">
      <c r="A7" s="9" t="s">
        <v>85</v>
      </c>
      <c r="B7" s="5" t="s">
        <v>22</v>
      </c>
      <c r="C7" s="4">
        <v>0</v>
      </c>
      <c r="D7" s="4">
        <v>0</v>
      </c>
      <c r="E7" s="4">
        <v>0</v>
      </c>
    </row>
    <row r="8" spans="1:5" ht="12.75">
      <c r="A8" s="5" t="s">
        <v>87</v>
      </c>
      <c r="B8" s="5" t="s">
        <v>22</v>
      </c>
      <c r="C8" s="4">
        <f>C6+C7</f>
        <v>4200</v>
      </c>
      <c r="D8" s="4">
        <f>D6+D7</f>
        <v>378</v>
      </c>
      <c r="E8" s="4">
        <f>E6+E7</f>
        <v>270</v>
      </c>
    </row>
    <row r="9" spans="1:5" ht="12.75">
      <c r="A9" s="5" t="s">
        <v>39</v>
      </c>
      <c r="B9" t="s">
        <v>13</v>
      </c>
      <c r="C9" s="4">
        <v>5</v>
      </c>
      <c r="D9" s="4">
        <f>E9*SQRT($E$34/$D$34)</f>
        <v>5.916079808609808</v>
      </c>
      <c r="E9" s="4">
        <v>5</v>
      </c>
    </row>
    <row r="10" spans="1:5" ht="12.75">
      <c r="A10" t="s">
        <v>0</v>
      </c>
      <c r="B10" t="s">
        <v>13</v>
      </c>
      <c r="C10" s="4">
        <v>0</v>
      </c>
      <c r="D10" s="4">
        <v>0</v>
      </c>
      <c r="E10" s="4">
        <v>0</v>
      </c>
    </row>
    <row r="11" spans="1:5" ht="12.75">
      <c r="A11" s="5" t="s">
        <v>40</v>
      </c>
      <c r="B11" t="s">
        <v>13</v>
      </c>
      <c r="C11" s="4">
        <v>4</v>
      </c>
      <c r="D11" s="4">
        <f>E11*SQRT($E$34/$D$34)</f>
        <v>4.732863846887847</v>
      </c>
      <c r="E11" s="4">
        <v>4</v>
      </c>
    </row>
    <row r="12" spans="1:5" ht="12.75">
      <c r="A12" t="s">
        <v>0</v>
      </c>
      <c r="B12" t="s">
        <v>13</v>
      </c>
      <c r="C12" s="4">
        <v>0</v>
      </c>
      <c r="D12" s="4">
        <v>0</v>
      </c>
      <c r="E12" s="4">
        <v>0</v>
      </c>
    </row>
    <row r="13" spans="1:5" ht="12.75">
      <c r="A13" s="5" t="s">
        <v>41</v>
      </c>
      <c r="B13" t="s">
        <v>13</v>
      </c>
      <c r="C13" s="4">
        <v>4</v>
      </c>
      <c r="D13" s="4">
        <f>E13*SQRT($E$34/$D$34)</f>
        <v>4.732863846887847</v>
      </c>
      <c r="E13" s="4">
        <v>4</v>
      </c>
    </row>
    <row r="14" spans="1:5" ht="12.75">
      <c r="A14" t="s">
        <v>0</v>
      </c>
      <c r="B14" t="s">
        <v>13</v>
      </c>
      <c r="C14" s="4">
        <v>0</v>
      </c>
      <c r="D14" s="4">
        <v>0</v>
      </c>
      <c r="E14" s="4">
        <v>0</v>
      </c>
    </row>
    <row r="15" spans="1:5" ht="12.75">
      <c r="A15" s="5" t="s">
        <v>27</v>
      </c>
      <c r="B15" t="s">
        <v>14</v>
      </c>
      <c r="C15" s="4">
        <v>11</v>
      </c>
      <c r="D15" s="4">
        <v>3</v>
      </c>
      <c r="E15" s="4">
        <v>2</v>
      </c>
    </row>
    <row r="16" spans="1:5" ht="12.75">
      <c r="A16" s="5" t="s">
        <v>25</v>
      </c>
      <c r="B16" t="s">
        <v>14</v>
      </c>
      <c r="C16" s="4">
        <v>10</v>
      </c>
      <c r="D16" s="4">
        <v>10</v>
      </c>
      <c r="E16" s="4">
        <v>10</v>
      </c>
    </row>
    <row r="17" spans="1:5" ht="12.75">
      <c r="A17" s="5" t="s">
        <v>26</v>
      </c>
      <c r="B17" t="s">
        <v>14</v>
      </c>
      <c r="C17" s="4">
        <v>10</v>
      </c>
      <c r="D17" s="4">
        <v>3</v>
      </c>
      <c r="E17" s="4">
        <v>2</v>
      </c>
    </row>
    <row r="18" spans="1:5" ht="12.75">
      <c r="A18" s="5" t="s">
        <v>28</v>
      </c>
      <c r="C18" s="6" t="s">
        <v>32</v>
      </c>
      <c r="D18" s="6" t="s">
        <v>32</v>
      </c>
      <c r="E18" s="6" t="s">
        <v>32</v>
      </c>
    </row>
    <row r="19" spans="1:5" ht="12.75">
      <c r="A19" s="5" t="s">
        <v>29</v>
      </c>
      <c r="C19" s="6" t="s">
        <v>53</v>
      </c>
      <c r="D19" s="6" t="s">
        <v>53</v>
      </c>
      <c r="E19" s="6" t="s">
        <v>53</v>
      </c>
    </row>
    <row r="20" spans="1:5" ht="12.75">
      <c r="A20" s="5" t="s">
        <v>30</v>
      </c>
      <c r="C20" s="6" t="s">
        <v>33</v>
      </c>
      <c r="D20" s="6" t="s">
        <v>33</v>
      </c>
      <c r="E20" s="6" t="s">
        <v>33</v>
      </c>
    </row>
    <row r="21" spans="1:5" ht="12.75">
      <c r="A21" s="5" t="s">
        <v>31</v>
      </c>
      <c r="C21" s="6" t="s">
        <v>54</v>
      </c>
      <c r="D21" s="6" t="s">
        <v>54</v>
      </c>
      <c r="E21" s="6" t="s">
        <v>54</v>
      </c>
    </row>
    <row r="22" spans="3:5" ht="6.75" customHeight="1">
      <c r="C22" s="4"/>
      <c r="D22" s="4"/>
      <c r="E22" s="4"/>
    </row>
    <row r="23" spans="1:5" ht="12.75">
      <c r="A23" t="s">
        <v>1</v>
      </c>
      <c r="B23" t="s">
        <v>15</v>
      </c>
      <c r="C23" s="4">
        <v>0.45</v>
      </c>
      <c r="D23" s="4">
        <v>5</v>
      </c>
      <c r="E23" s="4">
        <v>7</v>
      </c>
    </row>
    <row r="24" spans="1:5" ht="12.75">
      <c r="A24" t="s">
        <v>2</v>
      </c>
      <c r="C24" s="2">
        <v>156</v>
      </c>
      <c r="D24" s="2">
        <f>C24</f>
        <v>156</v>
      </c>
      <c r="E24" s="2">
        <f>C24</f>
        <v>156</v>
      </c>
    </row>
    <row r="25" spans="1:5" ht="12.75">
      <c r="A25" t="s">
        <v>3</v>
      </c>
      <c r="C25" s="1">
        <v>90000000000</v>
      </c>
      <c r="D25" s="1">
        <f>C25</f>
        <v>90000000000</v>
      </c>
      <c r="E25" s="1">
        <f>C25</f>
        <v>90000000000</v>
      </c>
    </row>
    <row r="26" spans="1:5" ht="12.75">
      <c r="A26" s="5" t="s">
        <v>79</v>
      </c>
      <c r="B26" s="5" t="s">
        <v>80</v>
      </c>
      <c r="C26" s="2">
        <v>16</v>
      </c>
      <c r="D26" s="2">
        <v>16</v>
      </c>
      <c r="E26" s="2">
        <v>16</v>
      </c>
    </row>
    <row r="27" spans="1:5" ht="12.75">
      <c r="A27" t="s">
        <v>4</v>
      </c>
      <c r="B27" t="s">
        <v>16</v>
      </c>
      <c r="C27" s="4">
        <v>1</v>
      </c>
      <c r="D27" s="4">
        <v>1</v>
      </c>
      <c r="E27" s="4">
        <v>2.5</v>
      </c>
    </row>
    <row r="28" spans="1:5" ht="12.75">
      <c r="A28" t="s">
        <v>5</v>
      </c>
      <c r="B28" s="5" t="s">
        <v>21</v>
      </c>
      <c r="C28" s="4">
        <v>3.5</v>
      </c>
      <c r="D28" s="4">
        <v>3.75</v>
      </c>
      <c r="E28" s="4">
        <f>D28</f>
        <v>3.75</v>
      </c>
    </row>
    <row r="29" spans="3:5" ht="6.75" customHeight="1">
      <c r="C29" s="4"/>
      <c r="D29" s="4"/>
      <c r="E29" s="4"/>
    </row>
    <row r="30" spans="1:5" ht="12.75">
      <c r="A30" t="s">
        <v>6</v>
      </c>
      <c r="B30" t="s">
        <v>12</v>
      </c>
      <c r="C30" s="4"/>
      <c r="D30" s="4"/>
      <c r="E30" s="4"/>
    </row>
    <row r="31" spans="1:5" ht="12.75">
      <c r="A31" t="s">
        <v>7</v>
      </c>
      <c r="C31" s="1">
        <f>C25*C24</f>
        <v>14040000000000</v>
      </c>
      <c r="D31" s="1">
        <f>C31</f>
        <v>14040000000000</v>
      </c>
      <c r="E31" s="1">
        <f>C31</f>
        <v>14040000000000</v>
      </c>
    </row>
    <row r="32" spans="1:5" ht="12.75">
      <c r="A32" t="s">
        <v>8</v>
      </c>
      <c r="B32" t="s">
        <v>17</v>
      </c>
      <c r="C32" s="4">
        <f>C31*0.00000000000000000016*11245*1000</f>
        <v>25.260767999999995</v>
      </c>
      <c r="D32" s="4">
        <f>C32</f>
        <v>25.260767999999995</v>
      </c>
      <c r="E32" s="4">
        <f>C32</f>
        <v>25.260767999999995</v>
      </c>
    </row>
    <row r="33" spans="1:5" ht="12.75">
      <c r="A33" t="s">
        <v>9</v>
      </c>
      <c r="B33" t="s">
        <v>18</v>
      </c>
      <c r="C33" s="4">
        <f>C31*C23*1000000000000/6240000000000000000/1000000</f>
        <v>1.0125</v>
      </c>
      <c r="D33" s="4">
        <f>D31*D23*1000000000000/6240000000000000000/1000000</f>
        <v>11.25</v>
      </c>
      <c r="E33" s="4">
        <f>E31*E23*1000000000000/6240000000000000000/1000000</f>
        <v>15.75</v>
      </c>
    </row>
    <row r="34" spans="1:5" ht="12.75">
      <c r="A34" t="s">
        <v>10</v>
      </c>
      <c r="C34" s="4">
        <v>479.60117645102804</v>
      </c>
      <c r="D34" s="4">
        <v>5328.901866739018</v>
      </c>
      <c r="E34" s="4">
        <v>7460.462677773797</v>
      </c>
    </row>
    <row r="35" spans="1:5" ht="12.75">
      <c r="A35" s="5" t="s">
        <v>42</v>
      </c>
      <c r="B35" t="s">
        <v>19</v>
      </c>
      <c r="C35" s="4">
        <f>1.4/4*2.9979*10</f>
        <v>10.49265</v>
      </c>
      <c r="D35" s="4">
        <f>0.721/4*2.9979*10</f>
        <v>5.403714749999999</v>
      </c>
      <c r="E35" s="4">
        <v>7.55</v>
      </c>
    </row>
    <row r="36" spans="1:5" ht="12.75">
      <c r="A36" s="5" t="s">
        <v>34</v>
      </c>
      <c r="B36" s="5" t="s">
        <v>13</v>
      </c>
      <c r="C36" s="3">
        <f aca="true" t="shared" si="0" ref="C36:E38">SQRT(C$28*C15/C$34)</f>
        <v>0.28332848858603055</v>
      </c>
      <c r="D36" s="3">
        <f t="shared" si="0"/>
        <v>0.04594702533539507</v>
      </c>
      <c r="E36" s="3">
        <f t="shared" si="0"/>
        <v>0.031706459601468166</v>
      </c>
    </row>
    <row r="37" spans="1:5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0.08388740742152416</v>
      </c>
      <c r="E37" s="3">
        <f t="shared" si="0"/>
        <v>0.07089779899473371</v>
      </c>
    </row>
    <row r="38" spans="1:5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0.04594702533539507</v>
      </c>
      <c r="E38" s="3">
        <f t="shared" si="0"/>
        <v>0.031706459601468166</v>
      </c>
    </row>
    <row r="39" spans="1:5" ht="12.75">
      <c r="A39" s="5" t="s">
        <v>52</v>
      </c>
      <c r="B39" s="5"/>
      <c r="C39" s="4"/>
      <c r="D39" s="3">
        <f>1/SQRT(1+(D2/1000000*D$35*10/2/D36)^2)</f>
        <v>1</v>
      </c>
      <c r="E39" s="3">
        <f>1/SQRT(1+(E2/1000000*E$35*10/2/E36)^2)</f>
        <v>1</v>
      </c>
    </row>
    <row r="40" spans="1:5" ht="12.75">
      <c r="A40" s="5" t="s">
        <v>37</v>
      </c>
      <c r="B40" s="5"/>
      <c r="C40" s="4"/>
      <c r="D40" s="3">
        <f>1/SQRT(1+(D5/1000000*D$35*10/2/D37)^2)</f>
        <v>0.9980133664577789</v>
      </c>
      <c r="E40" s="3">
        <f>1/SQRT(1+(E5/1000000*E$35*10/2/E37)^2)</f>
        <v>0.9972331277288644</v>
      </c>
    </row>
    <row r="41" spans="1:5" ht="12.75">
      <c r="A41" s="5" t="s">
        <v>38</v>
      </c>
      <c r="C41" s="4"/>
      <c r="D41" s="3">
        <f>1/SQRT(1+(D8/1000000*D$35*10/2/D38)^2)</f>
        <v>0.976175492538492</v>
      </c>
      <c r="E41" s="3">
        <f>1/SQRT(1+(E8/1000000*E$35*10/2/E38)^2)</f>
        <v>0.9520186062976324</v>
      </c>
    </row>
    <row r="42" spans="1:5" ht="12.75">
      <c r="A42" s="5" t="s">
        <v>43</v>
      </c>
      <c r="C42" s="4"/>
      <c r="D42" s="2">
        <v>156</v>
      </c>
      <c r="E42" s="2">
        <f>D42</f>
        <v>156</v>
      </c>
    </row>
    <row r="43" spans="1:5" ht="12.75">
      <c r="A43" s="5" t="s">
        <v>44</v>
      </c>
      <c r="C43" s="4"/>
      <c r="D43" s="2">
        <v>16</v>
      </c>
      <c r="E43" s="2">
        <f>D43</f>
        <v>16</v>
      </c>
    </row>
    <row r="44" spans="1:5" ht="12.75">
      <c r="A44" s="5" t="s">
        <v>45</v>
      </c>
      <c r="C44" s="4"/>
      <c r="D44" s="2">
        <v>68</v>
      </c>
      <c r="E44" s="2">
        <f>D44</f>
        <v>68</v>
      </c>
    </row>
    <row r="45" spans="1:5" ht="12.75">
      <c r="A45" s="5" t="s">
        <v>46</v>
      </c>
      <c r="B45" t="s">
        <v>20</v>
      </c>
      <c r="C45" s="4"/>
      <c r="D45" s="1">
        <f aca="true" t="shared" si="1" ref="D45:E47">D$25^2*D42*11245*D$34/4/PI()/(D$28/1000000*100)/(D15*100)*D39</f>
        <v>5.356047417408032E+31</v>
      </c>
      <c r="E45" s="1">
        <f t="shared" si="1"/>
        <v>1.1247699673557243E+32</v>
      </c>
    </row>
    <row r="46" spans="1:5" ht="12.75">
      <c r="A46" s="5" t="s">
        <v>47</v>
      </c>
      <c r="B46" t="s">
        <v>20</v>
      </c>
      <c r="C46" s="4"/>
      <c r="D46" s="1">
        <f t="shared" si="1"/>
        <v>1.6447405889091946E+30</v>
      </c>
      <c r="E46" s="1">
        <f t="shared" si="1"/>
        <v>2.3008366615828547E+30</v>
      </c>
    </row>
    <row r="47" spans="1:5" ht="12.75">
      <c r="A47" s="5" t="s">
        <v>48</v>
      </c>
      <c r="B47" t="s">
        <v>20</v>
      </c>
      <c r="C47" s="4"/>
      <c r="D47" s="1">
        <f t="shared" si="1"/>
        <v>2.27906455994135E+31</v>
      </c>
      <c r="E47" s="1">
        <f t="shared" si="1"/>
        <v>4.6675981857349515E+31</v>
      </c>
    </row>
    <row r="48" spans="1:5" ht="12.75">
      <c r="A48" s="5" t="s">
        <v>49</v>
      </c>
      <c r="C48" s="4"/>
      <c r="D48" s="4">
        <f aca="true" t="shared" si="2" ref="D48:E50">D45*60/1000*1E-24/D42/(11245)</f>
        <v>1.8319415184211898</v>
      </c>
      <c r="E48" s="4">
        <f t="shared" si="2"/>
        <v>3.847077221861765</v>
      </c>
    </row>
    <row r="49" spans="1:5" ht="12.75">
      <c r="A49" s="5" t="s">
        <v>50</v>
      </c>
      <c r="D49" s="4">
        <f t="shared" si="2"/>
        <v>0.548490636585992</v>
      </c>
      <c r="E49" s="4">
        <f t="shared" si="2"/>
        <v>0.7672865701143357</v>
      </c>
    </row>
    <row r="50" spans="1:5" ht="12.75">
      <c r="A50" s="5" t="s">
        <v>51</v>
      </c>
      <c r="D50" s="4">
        <f t="shared" si="2"/>
        <v>1.7882964140465176</v>
      </c>
      <c r="E50" s="4">
        <f t="shared" si="2"/>
        <v>3.662489095076205</v>
      </c>
    </row>
    <row r="51" ht="6.7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/>
      <c r="F52" s="5"/>
    </row>
    <row r="53" spans="1:4" ht="12.75">
      <c r="A53" s="5" t="s">
        <v>56</v>
      </c>
      <c r="B53">
        <v>156</v>
      </c>
      <c r="C53">
        <v>156</v>
      </c>
      <c r="D53" s="7">
        <v>156</v>
      </c>
    </row>
    <row r="54" spans="1:4" ht="12.75">
      <c r="A54" s="5" t="s">
        <v>57</v>
      </c>
      <c r="B54">
        <v>152</v>
      </c>
      <c r="C54">
        <v>76</v>
      </c>
      <c r="D54" s="7">
        <v>16</v>
      </c>
    </row>
    <row r="55" spans="1:4" ht="12.75">
      <c r="A55" s="5" t="s">
        <v>58</v>
      </c>
      <c r="B55">
        <f>B53</f>
        <v>156</v>
      </c>
      <c r="C55">
        <f>C53</f>
        <v>156</v>
      </c>
      <c r="D55" s="7">
        <f>D53</f>
        <v>156</v>
      </c>
    </row>
    <row r="56" spans="1:4" ht="12.75">
      <c r="A56" s="5" t="s">
        <v>59</v>
      </c>
      <c r="B56">
        <v>0</v>
      </c>
      <c r="C56">
        <v>36</v>
      </c>
      <c r="D56" s="7">
        <v>68</v>
      </c>
    </row>
    <row r="57" ht="6.75" customHeight="1"/>
    <row r="58" ht="12.75">
      <c r="A58" t="s">
        <v>65</v>
      </c>
    </row>
    <row r="59" spans="1:5" ht="12.75">
      <c r="A59" t="s">
        <v>66</v>
      </c>
      <c r="B59" t="s">
        <v>67</v>
      </c>
      <c r="D59">
        <v>20</v>
      </c>
      <c r="E59">
        <v>18</v>
      </c>
    </row>
    <row r="60" spans="1:5" ht="12.75">
      <c r="A60" s="5" t="s">
        <v>78</v>
      </c>
      <c r="B60" t="s">
        <v>67</v>
      </c>
      <c r="D60">
        <v>70</v>
      </c>
      <c r="E60">
        <v>74</v>
      </c>
    </row>
    <row r="61" ht="6.75" customHeight="1"/>
    <row r="62" ht="12.75">
      <c r="A62" t="s">
        <v>68</v>
      </c>
    </row>
    <row r="63" spans="1:5" ht="12.75">
      <c r="A63" t="s">
        <v>69</v>
      </c>
      <c r="B63" t="s">
        <v>75</v>
      </c>
      <c r="D63" s="1">
        <v>4.796E-12</v>
      </c>
      <c r="E63" s="1">
        <v>1.8426E-11</v>
      </c>
    </row>
    <row r="64" spans="1:5" ht="12.75">
      <c r="A64" t="s">
        <v>72</v>
      </c>
      <c r="B64" t="s">
        <v>76</v>
      </c>
      <c r="D64" s="1">
        <v>0.000696287</v>
      </c>
      <c r="E64" s="1">
        <v>0.00267486</v>
      </c>
    </row>
    <row r="65" spans="1:5" ht="12.75">
      <c r="A65" t="s">
        <v>70</v>
      </c>
      <c r="B65" t="s">
        <v>75</v>
      </c>
      <c r="D65" s="4">
        <v>12.1811</v>
      </c>
      <c r="E65" s="4">
        <v>46.795</v>
      </c>
    </row>
    <row r="66" spans="1:5" ht="12.75">
      <c r="A66" t="s">
        <v>71</v>
      </c>
      <c r="B66" t="s">
        <v>77</v>
      </c>
      <c r="D66" s="4">
        <v>16.087</v>
      </c>
      <c r="E66" s="4">
        <v>44.1435</v>
      </c>
    </row>
    <row r="67" spans="1:5" ht="12.75">
      <c r="A67" t="s">
        <v>73</v>
      </c>
      <c r="B67" t="s">
        <v>67</v>
      </c>
      <c r="D67" s="4">
        <v>35.3486</v>
      </c>
      <c r="E67" s="4">
        <v>12.8821</v>
      </c>
    </row>
    <row r="68" spans="1:5" ht="12.75">
      <c r="A68" t="s">
        <v>74</v>
      </c>
      <c r="B68" t="s">
        <v>67</v>
      </c>
      <c r="D68" s="4">
        <v>70.6971</v>
      </c>
      <c r="E68" s="4">
        <v>25.7643</v>
      </c>
    </row>
  </sheetData>
  <sheetProtection/>
  <printOptions/>
  <pageMargins left="0.7" right="0.7" top="0.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7">
      <selection activeCell="F45" sqref="F45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5" width="9.00390625" style="0" bestFit="1" customWidth="1"/>
  </cols>
  <sheetData>
    <row r="1" spans="1:5" ht="12.75">
      <c r="A1" s="5" t="s">
        <v>11</v>
      </c>
      <c r="B1" s="5" t="s">
        <v>12</v>
      </c>
      <c r="C1" t="s">
        <v>23</v>
      </c>
      <c r="D1" s="17" t="s">
        <v>24</v>
      </c>
      <c r="E1" s="17"/>
    </row>
    <row r="2" spans="1:5" ht="12.75">
      <c r="A2" s="5" t="s">
        <v>81</v>
      </c>
      <c r="B2" s="5" t="s">
        <v>22</v>
      </c>
      <c r="C2" s="4">
        <v>0</v>
      </c>
      <c r="D2" s="12">
        <v>0</v>
      </c>
      <c r="E2" s="12"/>
    </row>
    <row r="3" spans="1:5" ht="12.75">
      <c r="A3" s="9" t="s">
        <v>82</v>
      </c>
      <c r="B3" s="5" t="s">
        <v>22</v>
      </c>
      <c r="C3" s="4">
        <v>0</v>
      </c>
      <c r="D3" s="12">
        <v>0</v>
      </c>
      <c r="E3" s="12"/>
    </row>
    <row r="4" spans="1:5" ht="12.75">
      <c r="A4" s="9" t="s">
        <v>84</v>
      </c>
      <c r="B4" s="5" t="s">
        <v>22</v>
      </c>
      <c r="C4" s="4">
        <v>0</v>
      </c>
      <c r="D4" s="12">
        <v>0</v>
      </c>
      <c r="E4" s="12"/>
    </row>
    <row r="5" spans="1:5" ht="12.75">
      <c r="A5" s="5" t="s">
        <v>86</v>
      </c>
      <c r="B5" s="5" t="s">
        <v>22</v>
      </c>
      <c r="C5" s="4">
        <v>0</v>
      </c>
      <c r="D5" s="12">
        <f>D3+D4</f>
        <v>0</v>
      </c>
      <c r="E5" s="12"/>
    </row>
    <row r="6" spans="1:5" ht="12.75">
      <c r="A6" s="9" t="s">
        <v>83</v>
      </c>
      <c r="B6" s="5" t="s">
        <v>22</v>
      </c>
      <c r="C6" s="4">
        <v>0</v>
      </c>
      <c r="D6" s="12">
        <v>0</v>
      </c>
      <c r="E6" s="12"/>
    </row>
    <row r="7" spans="1:5" ht="12.75">
      <c r="A7" s="9" t="s">
        <v>85</v>
      </c>
      <c r="B7" s="5" t="s">
        <v>22</v>
      </c>
      <c r="C7" s="4">
        <v>0</v>
      </c>
      <c r="D7" s="12">
        <v>0</v>
      </c>
      <c r="E7" s="12"/>
    </row>
    <row r="8" spans="1:5" ht="12.75">
      <c r="A8" s="5" t="s">
        <v>87</v>
      </c>
      <c r="B8" s="5" t="s">
        <v>22</v>
      </c>
      <c r="C8" s="4">
        <v>0</v>
      </c>
      <c r="D8" s="12">
        <v>0</v>
      </c>
      <c r="E8" s="12"/>
    </row>
    <row r="9" spans="1:5" ht="12.75">
      <c r="A9" s="5" t="s">
        <v>39</v>
      </c>
      <c r="B9" t="s">
        <v>13</v>
      </c>
      <c r="C9" s="4">
        <v>5</v>
      </c>
      <c r="D9" s="12">
        <f>E9*SQRT($E$34/$D$34)</f>
        <v>0</v>
      </c>
      <c r="E9" s="12"/>
    </row>
    <row r="10" spans="1:5" ht="12.75">
      <c r="A10" t="s">
        <v>0</v>
      </c>
      <c r="B10" t="s">
        <v>13</v>
      </c>
      <c r="C10" s="4">
        <v>0</v>
      </c>
      <c r="D10" s="12">
        <v>0</v>
      </c>
      <c r="E10" s="12"/>
    </row>
    <row r="11" spans="1:5" ht="12.75">
      <c r="A11" s="5" t="s">
        <v>40</v>
      </c>
      <c r="B11" t="s">
        <v>13</v>
      </c>
      <c r="C11" s="4">
        <v>4</v>
      </c>
      <c r="D11" s="12">
        <f>E11*SQRT($E$34/$D$34)</f>
        <v>0</v>
      </c>
      <c r="E11" s="12"/>
    </row>
    <row r="12" spans="1:5" ht="12.75">
      <c r="A12" t="s">
        <v>0</v>
      </c>
      <c r="B12" t="s">
        <v>13</v>
      </c>
      <c r="C12" s="4">
        <v>1.5</v>
      </c>
      <c r="D12" s="12">
        <v>1.5</v>
      </c>
      <c r="E12" s="12"/>
    </row>
    <row r="13" spans="1:5" ht="12.75">
      <c r="A13" s="5" t="s">
        <v>41</v>
      </c>
      <c r="B13" t="s">
        <v>13</v>
      </c>
      <c r="C13" s="4">
        <v>4</v>
      </c>
      <c r="D13" s="12">
        <f>E13*SQRT($E$34/$D$34)</f>
        <v>0</v>
      </c>
      <c r="E13" s="12"/>
    </row>
    <row r="14" spans="1:5" ht="12.75">
      <c r="A14" t="s">
        <v>0</v>
      </c>
      <c r="B14" t="s">
        <v>13</v>
      </c>
      <c r="C14" s="4">
        <v>2</v>
      </c>
      <c r="D14" s="12">
        <v>2</v>
      </c>
      <c r="E14" s="12"/>
    </row>
    <row r="15" spans="1:5" ht="12.75">
      <c r="A15" s="5" t="s">
        <v>27</v>
      </c>
      <c r="B15" t="s">
        <v>14</v>
      </c>
      <c r="C15" s="4">
        <v>11</v>
      </c>
      <c r="D15" s="12">
        <v>11</v>
      </c>
      <c r="E15" s="12"/>
    </row>
    <row r="16" spans="1:5" ht="12.75">
      <c r="A16" s="5" t="s">
        <v>25</v>
      </c>
      <c r="B16" t="s">
        <v>14</v>
      </c>
      <c r="C16" s="4">
        <v>10</v>
      </c>
      <c r="D16" s="12">
        <v>10</v>
      </c>
      <c r="E16" s="12"/>
    </row>
    <row r="17" spans="1:5" ht="12.75">
      <c r="A17" s="5" t="s">
        <v>26</v>
      </c>
      <c r="B17" t="s">
        <v>14</v>
      </c>
      <c r="C17" s="4">
        <v>10</v>
      </c>
      <c r="D17" s="12">
        <v>10</v>
      </c>
      <c r="E17" s="12"/>
    </row>
    <row r="18" spans="1:5" ht="12.75">
      <c r="A18" s="5" t="s">
        <v>28</v>
      </c>
      <c r="C18" s="6" t="s">
        <v>33</v>
      </c>
      <c r="D18" s="15" t="s">
        <v>33</v>
      </c>
      <c r="E18" s="15"/>
    </row>
    <row r="19" spans="1:5" ht="12.75">
      <c r="A19" s="5" t="s">
        <v>29</v>
      </c>
      <c r="C19" s="6" t="s">
        <v>33</v>
      </c>
      <c r="D19" s="15" t="s">
        <v>33</v>
      </c>
      <c r="E19" s="15"/>
    </row>
    <row r="20" spans="1:5" ht="12.75">
      <c r="A20" s="5" t="s">
        <v>30</v>
      </c>
      <c r="C20" s="6" t="s">
        <v>32</v>
      </c>
      <c r="D20" s="15" t="s">
        <v>32</v>
      </c>
      <c r="E20" s="15"/>
    </row>
    <row r="21" spans="1:5" ht="12.75">
      <c r="A21" s="5" t="s">
        <v>31</v>
      </c>
      <c r="C21" s="6" t="s">
        <v>32</v>
      </c>
      <c r="D21" s="15" t="s">
        <v>32</v>
      </c>
      <c r="E21" s="15"/>
    </row>
    <row r="22" spans="3:5" ht="3.75" customHeight="1">
      <c r="C22" s="4"/>
      <c r="D22" s="4"/>
      <c r="E22" s="4"/>
    </row>
    <row r="23" spans="1:5" ht="12.75">
      <c r="A23" t="s">
        <v>1</v>
      </c>
      <c r="B23" t="s">
        <v>15</v>
      </c>
      <c r="C23" s="4">
        <v>0.45</v>
      </c>
      <c r="D23" s="12">
        <v>0.45</v>
      </c>
      <c r="E23" s="12"/>
    </row>
    <row r="24" spans="1:5" ht="12.75">
      <c r="A24" t="s">
        <v>2</v>
      </c>
      <c r="C24" s="2">
        <v>2</v>
      </c>
      <c r="D24" s="16">
        <f>C24</f>
        <v>2</v>
      </c>
      <c r="E24" s="16"/>
    </row>
    <row r="25" spans="1:5" ht="12.75">
      <c r="A25" t="s">
        <v>3</v>
      </c>
      <c r="C25" s="1">
        <v>10000000000</v>
      </c>
      <c r="D25" s="13">
        <f>C25</f>
        <v>10000000000</v>
      </c>
      <c r="E25" s="13"/>
    </row>
    <row r="26" spans="1:5" ht="12.75">
      <c r="A26" s="5" t="s">
        <v>79</v>
      </c>
      <c r="B26" s="5" t="s">
        <v>80</v>
      </c>
      <c r="C26" s="10" t="s">
        <v>88</v>
      </c>
      <c r="D26" s="10" t="s">
        <v>91</v>
      </c>
      <c r="E26" s="2">
        <v>16</v>
      </c>
    </row>
    <row r="27" spans="1:5" ht="12.75">
      <c r="A27" t="s">
        <v>4</v>
      </c>
      <c r="B27" t="s">
        <v>16</v>
      </c>
      <c r="C27" s="4">
        <v>0.5</v>
      </c>
      <c r="D27" s="12">
        <v>0.5</v>
      </c>
      <c r="E27" s="12"/>
    </row>
    <row r="28" spans="1:5" ht="12.75">
      <c r="A28" t="s">
        <v>5</v>
      </c>
      <c r="B28" s="5" t="s">
        <v>21</v>
      </c>
      <c r="C28" s="4">
        <v>3.5</v>
      </c>
      <c r="D28" s="12">
        <f>C28</f>
        <v>3.5</v>
      </c>
      <c r="E28" s="12"/>
    </row>
    <row r="29" spans="3:5" ht="3.75" customHeight="1">
      <c r="C29" s="4"/>
      <c r="D29" s="4"/>
      <c r="E29" s="4"/>
    </row>
    <row r="30" spans="1:5" ht="12.75">
      <c r="A30" t="s">
        <v>6</v>
      </c>
      <c r="B30" t="s">
        <v>12</v>
      </c>
      <c r="C30" s="4"/>
      <c r="D30" s="4"/>
      <c r="E30" s="4"/>
    </row>
    <row r="31" spans="1:5" ht="12.75">
      <c r="A31" t="s">
        <v>7</v>
      </c>
      <c r="C31" s="1">
        <f>C25*C24</f>
        <v>20000000000</v>
      </c>
      <c r="D31" s="13">
        <f>C31</f>
        <v>20000000000</v>
      </c>
      <c r="E31" s="13"/>
    </row>
    <row r="32" spans="1:5" ht="12.75">
      <c r="A32" t="s">
        <v>8</v>
      </c>
      <c r="B32" t="s">
        <v>17</v>
      </c>
      <c r="C32" s="4">
        <f>C31*0.00000000000000000016*11245*1000</f>
        <v>0.035984</v>
      </c>
      <c r="D32" s="12">
        <f>C32</f>
        <v>0.035984</v>
      </c>
      <c r="E32" s="12"/>
    </row>
    <row r="33" spans="1:5" ht="12.75">
      <c r="A33" t="s">
        <v>9</v>
      </c>
      <c r="B33" t="s">
        <v>18</v>
      </c>
      <c r="C33" s="3">
        <f>C31*C23*1000000000000/6240000000000000000/1000000</f>
        <v>0.0014423076923076924</v>
      </c>
      <c r="D33" s="14">
        <f>D31*D23*1000000000000/6240000000000000000/1000000</f>
        <v>0.0014423076923076924</v>
      </c>
      <c r="E33" s="14"/>
    </row>
    <row r="34" spans="1:5" ht="12.75">
      <c r="A34" t="s">
        <v>10</v>
      </c>
      <c r="C34" s="4">
        <v>479.60117645102804</v>
      </c>
      <c r="D34" s="12">
        <f>C34</f>
        <v>479.60117645102804</v>
      </c>
      <c r="E34" s="12"/>
    </row>
    <row r="35" spans="1:5" ht="12.75">
      <c r="A35" s="5" t="s">
        <v>42</v>
      </c>
      <c r="B35" t="s">
        <v>19</v>
      </c>
      <c r="C35" s="4" t="s">
        <v>89</v>
      </c>
      <c r="D35" s="4">
        <v>8.57</v>
      </c>
      <c r="E35" s="4">
        <v>7.09</v>
      </c>
    </row>
    <row r="36" spans="1:5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0.28332848858603055</v>
      </c>
      <c r="E36" s="3">
        <f>SQRT(D$28*D15/D$34)</f>
        <v>0.28332848858603055</v>
      </c>
    </row>
    <row r="37" spans="1:5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0.27014311433427696</v>
      </c>
      <c r="E37" s="3">
        <f>SQRT(D$28*D16/D$34)</f>
        <v>0.27014311433427696</v>
      </c>
    </row>
    <row r="38" spans="1:5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0.27014311433427696</v>
      </c>
      <c r="E38" s="3">
        <f>SQRT(D$28*D17/D$34)</f>
        <v>0.27014311433427696</v>
      </c>
    </row>
    <row r="39" spans="1:5" ht="12.75">
      <c r="A39" s="5" t="s">
        <v>52</v>
      </c>
      <c r="B39" s="5"/>
      <c r="C39" s="4"/>
      <c r="D39" s="3">
        <f>1/SQRT(1+(D2/1000000*D$35*10/2/D36)^2)</f>
        <v>1</v>
      </c>
      <c r="E39" s="3">
        <f>1/SQRT(1+(D2/1000000*E$35*10/2/E36)^2)</f>
        <v>1</v>
      </c>
    </row>
    <row r="40" spans="1:5" ht="12.75">
      <c r="A40" s="5" t="s">
        <v>37</v>
      </c>
      <c r="B40" s="5"/>
      <c r="C40" s="4"/>
      <c r="D40" s="3">
        <f>1/SQRT(1+(D5/1000000*D$35*10/2/D37)^2)</f>
        <v>1</v>
      </c>
      <c r="E40" s="3">
        <f>1/SQRT(1+(D5/1000000*E$35*10/2/E37)^2)</f>
        <v>1</v>
      </c>
    </row>
    <row r="41" spans="1:5" ht="12.75">
      <c r="A41" s="5" t="s">
        <v>38</v>
      </c>
      <c r="C41" s="4"/>
      <c r="D41" s="3">
        <f>1/SQRT(1+(D8/1000000*D$35*10/2/D38)^2)</f>
        <v>1</v>
      </c>
      <c r="E41" s="3">
        <f>1/SQRT(1+(D8/1000000*E$35*10/2/E38)^2)</f>
        <v>1</v>
      </c>
    </row>
    <row r="42" spans="1:5" ht="12.75">
      <c r="A42" s="5" t="s">
        <v>43</v>
      </c>
      <c r="C42" s="4"/>
      <c r="D42" s="2">
        <v>2</v>
      </c>
      <c r="E42" s="2">
        <v>2</v>
      </c>
    </row>
    <row r="43" spans="1:5" ht="12.75">
      <c r="A43" s="5" t="s">
        <v>44</v>
      </c>
      <c r="C43" s="4"/>
      <c r="D43" s="2">
        <v>1</v>
      </c>
      <c r="E43" s="2">
        <v>1</v>
      </c>
    </row>
    <row r="44" spans="1:5" ht="12.75">
      <c r="A44" s="5" t="s">
        <v>45</v>
      </c>
      <c r="C44" s="4"/>
      <c r="D44" s="2">
        <v>1</v>
      </c>
      <c r="E44" s="2">
        <v>1</v>
      </c>
    </row>
    <row r="45" spans="1:5" ht="12.75">
      <c r="A45" s="5" t="s">
        <v>46</v>
      </c>
      <c r="B45" t="s">
        <v>20</v>
      </c>
      <c r="C45" s="4"/>
      <c r="D45" s="1">
        <f>D$25^2*D42*11245*D$34/4/PI()/(D$28/1000000*100)/(D15*100)*D39</f>
        <v>2.2294570062079395E+26</v>
      </c>
      <c r="E45" s="1">
        <f>D$25^2*E42*11245*D$34/4/PI()/(D$28/1000000*100)/(D15*100)*E39</f>
        <v>2.2294570062079395E+26</v>
      </c>
    </row>
    <row r="46" spans="1:6" ht="12.75">
      <c r="A46" s="5" t="s">
        <v>47</v>
      </c>
      <c r="B46" t="s">
        <v>20</v>
      </c>
      <c r="C46" s="4"/>
      <c r="D46" s="1">
        <f>D$25^2*D43*11245*D$34/4/PI()/(D$28/1000000*100)/(D16*100)*D40</f>
        <v>1.2262013534143668E+26</v>
      </c>
      <c r="E46" s="1">
        <f>D$25^2*E43*11245*D$34/4/PI()/(D$28/1000000*100)/(D16*100)*E40</f>
        <v>1.2262013534143668E+26</v>
      </c>
      <c r="F46" s="1"/>
    </row>
    <row r="47" spans="1:5" ht="12.75">
      <c r="A47" s="5" t="s">
        <v>48</v>
      </c>
      <c r="B47" t="s">
        <v>20</v>
      </c>
      <c r="C47" s="4"/>
      <c r="D47" s="1">
        <f>D$25^2*D44*11245*D$34/4/PI()/(D$28/1000000*100)/(D17*100)*D41</f>
        <v>1.2262013534143668E+26</v>
      </c>
      <c r="E47" s="1">
        <f>D$25^2*E44*11245*D$34/4/PI()/(D$28/1000000*100)/(D17*100)*E41</f>
        <v>1.2262013534143668E+26</v>
      </c>
    </row>
    <row r="48" spans="1:5" ht="12.75">
      <c r="A48" s="5" t="s">
        <v>49</v>
      </c>
      <c r="C48" s="4"/>
      <c r="D48" s="8">
        <f aca="true" t="shared" si="1" ref="D48:E50">D45*60/1000*1E-24/D42/(11245)</f>
        <v>0.0005947862177522293</v>
      </c>
      <c r="E48" s="8">
        <f t="shared" si="1"/>
        <v>0.0005947862177522293</v>
      </c>
    </row>
    <row r="49" spans="1:5" ht="12.75">
      <c r="A49" s="5" t="s">
        <v>50</v>
      </c>
      <c r="D49" s="8">
        <f t="shared" si="1"/>
        <v>0.0006542648395274522</v>
      </c>
      <c r="E49" s="8">
        <f t="shared" si="1"/>
        <v>0.0006542648395274522</v>
      </c>
    </row>
    <row r="50" spans="1:5" ht="12.75">
      <c r="A50" s="5" t="s">
        <v>51</v>
      </c>
      <c r="D50" s="8">
        <f t="shared" si="1"/>
        <v>0.0006542648395274522</v>
      </c>
      <c r="E50" s="8">
        <f t="shared" si="1"/>
        <v>0.0006542648395274522</v>
      </c>
    </row>
    <row r="51" ht="3.75" customHeight="1"/>
    <row r="54" ht="12.75">
      <c r="A54" s="5"/>
    </row>
    <row r="56" spans="4:5" ht="12.75">
      <c r="D56" s="1"/>
      <c r="E56" s="1"/>
    </row>
    <row r="57" spans="4:5" ht="12.75">
      <c r="D57" s="1"/>
      <c r="E57" s="1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</sheetData>
  <sheetProtection/>
  <mergeCells count="30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28:E28"/>
    <mergeCell ref="D31:E31"/>
    <mergeCell ref="D32:E32"/>
    <mergeCell ref="D33:E33"/>
    <mergeCell ref="D34:E34"/>
  </mergeCells>
  <printOptions horizontalCentered="1" verticalCentered="1"/>
  <pageMargins left="0.7" right="0.7" top="0" bottom="0.45" header="0.2" footer="0.2"/>
  <pageSetup horizontalDpi="600" verticalDpi="600" orientation="portrait" paperSize="9" r:id="rId1"/>
  <headerFooter>
    <oddFooter>&amp;LCompiled by M. Giovannozzi&amp;Cwith input from W. Herr, J. Jowett, &amp;RE. Métral, and E, Shaposhnikova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3" width="10.7109375" style="0" bestFit="1" customWidth="1"/>
    <col min="4" max="5" width="9.00390625" style="0" bestFit="1" customWidth="1"/>
  </cols>
  <sheetData>
    <row r="1" spans="1:5" ht="12.75">
      <c r="A1" s="5" t="s">
        <v>11</v>
      </c>
      <c r="B1" s="5" t="s">
        <v>12</v>
      </c>
      <c r="C1" t="s">
        <v>23</v>
      </c>
      <c r="D1" s="17" t="s">
        <v>24</v>
      </c>
      <c r="E1" s="17"/>
    </row>
    <row r="2" spans="1:5" ht="12.75">
      <c r="A2" s="5" t="s">
        <v>81</v>
      </c>
      <c r="B2" s="5" t="s">
        <v>22</v>
      </c>
      <c r="C2" s="4">
        <v>0</v>
      </c>
      <c r="D2" s="12">
        <v>0</v>
      </c>
      <c r="E2" s="12"/>
    </row>
    <row r="3" spans="1:5" ht="12.75">
      <c r="A3" s="9" t="s">
        <v>82</v>
      </c>
      <c r="B3" s="5" t="s">
        <v>22</v>
      </c>
      <c r="C3" s="4">
        <f>D3/$C$23*$D$23</f>
        <v>2177.777777777778</v>
      </c>
      <c r="D3" s="12">
        <f>2*70*7/5</f>
        <v>196</v>
      </c>
      <c r="E3" s="12"/>
    </row>
    <row r="4" spans="1:5" ht="12.75">
      <c r="A4" s="9" t="s">
        <v>84</v>
      </c>
      <c r="B4" s="5" t="s">
        <v>22</v>
      </c>
      <c r="C4" s="4">
        <v>0</v>
      </c>
      <c r="D4" s="12">
        <v>0</v>
      </c>
      <c r="E4" s="12"/>
    </row>
    <row r="5" spans="1:5" ht="12.75">
      <c r="A5" s="5" t="s">
        <v>86</v>
      </c>
      <c r="B5" s="5" t="s">
        <v>22</v>
      </c>
      <c r="C5" s="4">
        <f>C3+C4</f>
        <v>2177.777777777778</v>
      </c>
      <c r="D5" s="12">
        <f>D3+D4</f>
        <v>196</v>
      </c>
      <c r="E5" s="12"/>
    </row>
    <row r="6" spans="1:5" ht="12.75">
      <c r="A6" s="9" t="s">
        <v>83</v>
      </c>
      <c r="B6" s="5" t="s">
        <v>22</v>
      </c>
      <c r="C6" s="4">
        <f>D6/$C$23*$D$23</f>
        <v>4200</v>
      </c>
      <c r="D6" s="12">
        <f>2*135*7/5</f>
        <v>378</v>
      </c>
      <c r="E6" s="12"/>
    </row>
    <row r="7" spans="1:5" ht="12.75">
      <c r="A7" s="9" t="s">
        <v>85</v>
      </c>
      <c r="B7" s="5" t="s">
        <v>22</v>
      </c>
      <c r="C7" s="4">
        <v>0</v>
      </c>
      <c r="D7" s="12">
        <v>0</v>
      </c>
      <c r="E7" s="12"/>
    </row>
    <row r="8" spans="1:5" ht="12.75">
      <c r="A8" s="5" t="s">
        <v>87</v>
      </c>
      <c r="B8" s="5" t="s">
        <v>22</v>
      </c>
      <c r="C8" s="4">
        <f>C6+C7</f>
        <v>4200</v>
      </c>
      <c r="D8" s="12">
        <f>D6+D7</f>
        <v>378</v>
      </c>
      <c r="E8" s="12"/>
    </row>
    <row r="9" spans="1:5" ht="12.75">
      <c r="A9" s="5" t="s">
        <v>39</v>
      </c>
      <c r="B9" t="s">
        <v>13</v>
      </c>
      <c r="C9" s="4">
        <v>5</v>
      </c>
      <c r="D9" s="12">
        <f>E9*SQRT($E$34/$D$34)</f>
        <v>0</v>
      </c>
      <c r="E9" s="12"/>
    </row>
    <row r="10" spans="1:5" ht="12.75">
      <c r="A10" t="s">
        <v>0</v>
      </c>
      <c r="B10" t="s">
        <v>13</v>
      </c>
      <c r="C10" s="4">
        <v>0</v>
      </c>
      <c r="D10" s="12">
        <v>0.5</v>
      </c>
      <c r="E10" s="12"/>
    </row>
    <row r="11" spans="1:5" ht="12.75">
      <c r="A11" s="5" t="s">
        <v>40</v>
      </c>
      <c r="B11" t="s">
        <v>13</v>
      </c>
      <c r="C11" s="4">
        <v>4</v>
      </c>
      <c r="D11" s="12">
        <f>E11*SQRT($E$34/$D$34)</f>
        <v>0</v>
      </c>
      <c r="E11" s="12"/>
    </row>
    <row r="12" spans="1:5" ht="12.75">
      <c r="A12" t="s">
        <v>0</v>
      </c>
      <c r="B12" t="s">
        <v>13</v>
      </c>
      <c r="C12" s="4">
        <v>1.5</v>
      </c>
      <c r="D12" s="12">
        <v>0</v>
      </c>
      <c r="E12" s="12"/>
    </row>
    <row r="13" spans="1:5" ht="12.75">
      <c r="A13" s="5" t="s">
        <v>41</v>
      </c>
      <c r="B13" t="s">
        <v>13</v>
      </c>
      <c r="C13" s="4">
        <v>4</v>
      </c>
      <c r="D13" s="12">
        <f>E13*SQRT($E$34/$D$34)</f>
        <v>0</v>
      </c>
      <c r="E13" s="12"/>
    </row>
    <row r="14" spans="1:5" ht="12.75">
      <c r="A14" t="s">
        <v>0</v>
      </c>
      <c r="B14" t="s">
        <v>13</v>
      </c>
      <c r="C14" s="4">
        <v>2</v>
      </c>
      <c r="D14" s="12">
        <v>0</v>
      </c>
      <c r="E14" s="12"/>
    </row>
    <row r="15" spans="1:5" ht="12.75">
      <c r="A15" s="5" t="s">
        <v>27</v>
      </c>
      <c r="B15" t="s">
        <v>14</v>
      </c>
      <c r="C15" s="4">
        <v>11</v>
      </c>
      <c r="D15" s="12">
        <v>3</v>
      </c>
      <c r="E15" s="12"/>
    </row>
    <row r="16" spans="1:5" ht="12.75">
      <c r="A16" s="5" t="s">
        <v>25</v>
      </c>
      <c r="B16" t="s">
        <v>14</v>
      </c>
      <c r="C16" s="4">
        <v>10</v>
      </c>
      <c r="D16" s="12">
        <v>10</v>
      </c>
      <c r="E16" s="12"/>
    </row>
    <row r="17" spans="1:5" ht="12.75">
      <c r="A17" s="5" t="s">
        <v>26</v>
      </c>
      <c r="B17" t="s">
        <v>14</v>
      </c>
      <c r="C17" s="4">
        <v>10</v>
      </c>
      <c r="D17" s="12">
        <v>6</v>
      </c>
      <c r="E17" s="12"/>
    </row>
    <row r="18" spans="1:5" ht="12.75">
      <c r="A18" s="5" t="s">
        <v>28</v>
      </c>
      <c r="C18" s="6" t="s">
        <v>33</v>
      </c>
      <c r="D18" s="15" t="s">
        <v>33</v>
      </c>
      <c r="E18" s="15"/>
    </row>
    <row r="19" spans="1:5" ht="12.75">
      <c r="A19" s="5" t="s">
        <v>29</v>
      </c>
      <c r="C19" s="6" t="s">
        <v>53</v>
      </c>
      <c r="D19" s="15" t="s">
        <v>53</v>
      </c>
      <c r="E19" s="15"/>
    </row>
    <row r="20" spans="1:5" ht="12.75">
      <c r="A20" s="5" t="s">
        <v>30</v>
      </c>
      <c r="C20" s="6" t="s">
        <v>32</v>
      </c>
      <c r="D20" s="15" t="s">
        <v>32</v>
      </c>
      <c r="E20" s="15"/>
    </row>
    <row r="21" spans="1:5" ht="12.75">
      <c r="A21" s="5" t="s">
        <v>31</v>
      </c>
      <c r="C21" s="6" t="s">
        <v>54</v>
      </c>
      <c r="D21" s="15" t="s">
        <v>54</v>
      </c>
      <c r="E21" s="15"/>
    </row>
    <row r="22" spans="3:5" ht="3.75" customHeight="1">
      <c r="C22" s="4"/>
      <c r="D22" s="4"/>
      <c r="E22" s="4"/>
    </row>
    <row r="23" spans="1:5" ht="12.75">
      <c r="A23" t="s">
        <v>1</v>
      </c>
      <c r="B23" t="s">
        <v>15</v>
      </c>
      <c r="C23" s="4">
        <v>0.45</v>
      </c>
      <c r="D23" s="12">
        <v>5</v>
      </c>
      <c r="E23" s="12"/>
    </row>
    <row r="24" spans="1:5" ht="12.75">
      <c r="A24" t="s">
        <v>2</v>
      </c>
      <c r="C24" s="2">
        <v>43</v>
      </c>
      <c r="D24" s="16">
        <f>C24</f>
        <v>43</v>
      </c>
      <c r="E24" s="16"/>
    </row>
    <row r="25" spans="1:5" ht="12.75">
      <c r="A25" t="s">
        <v>3</v>
      </c>
      <c r="C25" s="1">
        <v>40000000000</v>
      </c>
      <c r="D25" s="13">
        <f>C25</f>
        <v>40000000000</v>
      </c>
      <c r="E25" s="13"/>
    </row>
    <row r="26" spans="1:5" ht="12.75">
      <c r="A26" s="5" t="s">
        <v>79</v>
      </c>
      <c r="B26" s="5" t="s">
        <v>80</v>
      </c>
      <c r="C26" s="10" t="s">
        <v>88</v>
      </c>
      <c r="D26" s="10" t="s">
        <v>91</v>
      </c>
      <c r="E26" s="2">
        <v>16</v>
      </c>
    </row>
    <row r="27" spans="1:5" ht="12.75">
      <c r="A27" t="s">
        <v>4</v>
      </c>
      <c r="B27" t="s">
        <v>16</v>
      </c>
      <c r="C27" s="4">
        <v>1</v>
      </c>
      <c r="D27" s="12">
        <v>1</v>
      </c>
      <c r="E27" s="12"/>
    </row>
    <row r="28" spans="1:5" ht="12.75">
      <c r="A28" t="s">
        <v>5</v>
      </c>
      <c r="B28" s="5" t="s">
        <v>21</v>
      </c>
      <c r="C28" s="4">
        <v>3.5</v>
      </c>
      <c r="D28" s="12">
        <v>3.75</v>
      </c>
      <c r="E28" s="12"/>
    </row>
    <row r="29" spans="3:5" ht="3.75" customHeight="1">
      <c r="C29" s="4"/>
      <c r="D29" s="4"/>
      <c r="E29" s="4"/>
    </row>
    <row r="30" spans="1:5" ht="12.75">
      <c r="A30" t="s">
        <v>6</v>
      </c>
      <c r="B30" t="s">
        <v>12</v>
      </c>
      <c r="C30" s="4"/>
      <c r="D30" s="4"/>
      <c r="E30" s="4"/>
    </row>
    <row r="31" spans="1:5" ht="12.75">
      <c r="A31" t="s">
        <v>7</v>
      </c>
      <c r="C31" s="1">
        <f>C25*C24</f>
        <v>1720000000000</v>
      </c>
      <c r="D31" s="13">
        <f>C31</f>
        <v>1720000000000</v>
      </c>
      <c r="E31" s="13"/>
    </row>
    <row r="32" spans="1:5" ht="12.75">
      <c r="A32" t="s">
        <v>8</v>
      </c>
      <c r="B32" t="s">
        <v>17</v>
      </c>
      <c r="C32" s="4">
        <f>C31*0.00000000000000000016*11245*1000</f>
        <v>3.0946239999999996</v>
      </c>
      <c r="D32" s="12">
        <f>C32</f>
        <v>3.0946239999999996</v>
      </c>
      <c r="E32" s="12"/>
    </row>
    <row r="33" spans="1:5" ht="12.75">
      <c r="A33" t="s">
        <v>9</v>
      </c>
      <c r="B33" t="s">
        <v>18</v>
      </c>
      <c r="C33" s="4">
        <f>C31*C23*1000000000000/6240000000000000000/1000000</f>
        <v>0.12403846153846154</v>
      </c>
      <c r="D33" s="12">
        <f>D31*D23*1000000000000/6240000000000000000/1000000</f>
        <v>1.3782051282051282</v>
      </c>
      <c r="E33" s="12"/>
    </row>
    <row r="34" spans="1:5" ht="12.75">
      <c r="A34" t="s">
        <v>10</v>
      </c>
      <c r="C34" s="4">
        <v>479.60117645102804</v>
      </c>
      <c r="D34" s="12">
        <v>5328.901866739018</v>
      </c>
      <c r="E34" s="12"/>
    </row>
    <row r="35" spans="1:6" ht="14.25">
      <c r="A35" s="5" t="s">
        <v>42</v>
      </c>
      <c r="B35" t="s">
        <v>19</v>
      </c>
      <c r="C35" s="4" t="s">
        <v>90</v>
      </c>
      <c r="D35" s="4">
        <v>6.49</v>
      </c>
      <c r="E35" s="4">
        <v>5.41</v>
      </c>
      <c r="F35" s="11"/>
    </row>
    <row r="36" spans="1:5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0.04594702533539507</v>
      </c>
      <c r="E36" s="3">
        <f>SQRT(D$28*D15/D$34)</f>
        <v>0.04594702533539507</v>
      </c>
    </row>
    <row r="37" spans="1:5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0.08388740742152416</v>
      </c>
      <c r="E37" s="3">
        <f>SQRT(D$28*D16/D$34)</f>
        <v>0.08388740742152416</v>
      </c>
    </row>
    <row r="38" spans="1:5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0.06497890638001591</v>
      </c>
      <c r="E38" s="3">
        <f>SQRT(D$28*D17/D$34)</f>
        <v>0.06497890638001591</v>
      </c>
    </row>
    <row r="39" spans="1:5" ht="12.75">
      <c r="A39" s="5" t="s">
        <v>52</v>
      </c>
      <c r="B39" s="5"/>
      <c r="C39" s="4"/>
      <c r="D39" s="3">
        <f>1/SQRT(1+(D2/1000000*D$35*10/2/D36)^2)</f>
        <v>1</v>
      </c>
      <c r="E39" s="3">
        <f>1/SQRT(1+(D2/1000000*E$35*10/2/E36)^2)</f>
        <v>1</v>
      </c>
    </row>
    <row r="40" spans="1:5" ht="12.75">
      <c r="A40" s="5" t="s">
        <v>37</v>
      </c>
      <c r="B40" s="5"/>
      <c r="C40" s="4"/>
      <c r="D40" s="3">
        <f>1/SQRT(1+(D5/1000000*D$35*10/2/D37)^2)</f>
        <v>0.9971381257884615</v>
      </c>
      <c r="E40" s="3">
        <f>1/SQRT(1+(D5/1000000*E$35*10/2/E37)^2)</f>
        <v>0.9980087561264165</v>
      </c>
    </row>
    <row r="41" spans="1:5" ht="12.75">
      <c r="A41" s="5" t="s">
        <v>38</v>
      </c>
      <c r="C41" s="4"/>
      <c r="D41" s="3">
        <f>1/SQRT(1+(D8/1000000*D$35*10/2/D38)^2)</f>
        <v>0.9826453142669674</v>
      </c>
      <c r="E41" s="3">
        <f>1/SQRT(1+(D8/1000000*E$35*10/2/E38)^2)</f>
        <v>0.9878446297283019</v>
      </c>
    </row>
    <row r="42" spans="1:5" ht="12.75">
      <c r="A42" s="5" t="s">
        <v>43</v>
      </c>
      <c r="C42" s="4"/>
      <c r="D42" s="2">
        <v>43</v>
      </c>
      <c r="E42" s="2">
        <v>43</v>
      </c>
    </row>
    <row r="43" spans="1:5" ht="12.75">
      <c r="A43" s="5" t="s">
        <v>44</v>
      </c>
      <c r="C43" s="4"/>
      <c r="D43" s="2">
        <v>4</v>
      </c>
      <c r="E43" s="2">
        <v>4</v>
      </c>
    </row>
    <row r="44" spans="1:5" ht="12.75">
      <c r="A44" s="5" t="s">
        <v>45</v>
      </c>
      <c r="C44" s="4"/>
      <c r="D44" s="2">
        <v>19</v>
      </c>
      <c r="E44" s="2">
        <v>19</v>
      </c>
    </row>
    <row r="45" spans="1:5" ht="12.75">
      <c r="A45" s="5" t="s">
        <v>46</v>
      </c>
      <c r="B45" t="s">
        <v>20</v>
      </c>
      <c r="C45" s="4"/>
      <c r="D45" s="1">
        <f>D$25^2*D42*11245*D$34/4/PI()/(D$28/1000000*100)/(D15*100)*D39</f>
        <v>2.9162398094149464E+30</v>
      </c>
      <c r="E45" s="1">
        <f>D$25^2*E42*11245*D$34/4/PI()/(D$28/1000000*100)/(D15*100)*E39</f>
        <v>2.9162398094149464E+30</v>
      </c>
    </row>
    <row r="46" spans="1:5" ht="12.75">
      <c r="A46" s="5" t="s">
        <v>47</v>
      </c>
      <c r="B46" t="s">
        <v>20</v>
      </c>
      <c r="C46" s="4"/>
      <c r="D46" s="1">
        <f>D$25^2*D43*11245*D$34/4/PI()/(D$28/1000000*100)/(D16*100)*D40</f>
        <v>8.115052738352705E+28</v>
      </c>
      <c r="E46" s="1">
        <f>D$25^2*E43*11245*D$34/4/PI()/(D$28/1000000*100)/(D16*100)*E40</f>
        <v>8.122138227238739E+28</v>
      </c>
    </row>
    <row r="47" spans="1:5" ht="12.75">
      <c r="A47" s="5" t="s">
        <v>48</v>
      </c>
      <c r="B47" t="s">
        <v>20</v>
      </c>
      <c r="C47" s="4"/>
      <c r="D47" s="1">
        <f>D$25^2*D44*11245*D$34/4/PI()/(D$28/1000000*100)/(D17*100)*D41</f>
        <v>6.331041662326445E+29</v>
      </c>
      <c r="E47" s="1">
        <f>D$25^2*E44*11245*D$34/4/PI()/(D$28/1000000*100)/(D17*100)*E41</f>
        <v>6.364540099985858E+29</v>
      </c>
    </row>
    <row r="48" spans="1:5" ht="12.75">
      <c r="A48" s="5" t="s">
        <v>49</v>
      </c>
      <c r="C48" s="4"/>
      <c r="D48" s="4">
        <f aca="true" t="shared" si="1" ref="D48:E50">D45*60/1000*1E-24/D42/(11245)</f>
        <v>0.3618649912930745</v>
      </c>
      <c r="E48" s="4">
        <f t="shared" si="1"/>
        <v>0.3618649912930745</v>
      </c>
    </row>
    <row r="49" spans="1:5" ht="12.75">
      <c r="A49" s="5" t="s">
        <v>50</v>
      </c>
      <c r="D49" s="4">
        <f t="shared" si="1"/>
        <v>0.10824881376193025</v>
      </c>
      <c r="E49" s="4">
        <f t="shared" si="1"/>
        <v>0.10834332895382934</v>
      </c>
    </row>
    <row r="50" spans="1:5" ht="12.75">
      <c r="A50" s="5" t="s">
        <v>51</v>
      </c>
      <c r="D50" s="4">
        <f t="shared" si="1"/>
        <v>0.17779246904569826</v>
      </c>
      <c r="E50" s="4">
        <f t="shared" si="1"/>
        <v>0.17873319416777117</v>
      </c>
    </row>
    <row r="51" ht="3.7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 t="s">
        <v>63</v>
      </c>
      <c r="F52" s="5" t="s">
        <v>64</v>
      </c>
    </row>
    <row r="53" spans="1:6" ht="12.75">
      <c r="A53" s="5" t="s">
        <v>56</v>
      </c>
      <c r="B53">
        <v>43</v>
      </c>
      <c r="C53">
        <v>39</v>
      </c>
      <c r="D53">
        <v>43</v>
      </c>
      <c r="E53">
        <v>43</v>
      </c>
      <c r="F53" s="7">
        <v>43</v>
      </c>
    </row>
    <row r="54" spans="1:6" ht="12.75">
      <c r="A54" s="5" t="s">
        <v>57</v>
      </c>
      <c r="B54">
        <v>42</v>
      </c>
      <c r="C54">
        <v>38</v>
      </c>
      <c r="D54">
        <v>34</v>
      </c>
      <c r="E54">
        <v>21</v>
      </c>
      <c r="F54" s="7">
        <v>4</v>
      </c>
    </row>
    <row r="55" spans="1:6" ht="12.75">
      <c r="A55" s="5" t="s">
        <v>58</v>
      </c>
      <c r="B55">
        <f>B53</f>
        <v>43</v>
      </c>
      <c r="C55">
        <f>C53</f>
        <v>39</v>
      </c>
      <c r="D55">
        <f>D53</f>
        <v>43</v>
      </c>
      <c r="E55">
        <f>E53</f>
        <v>43</v>
      </c>
      <c r="F55" s="7">
        <f>F53</f>
        <v>43</v>
      </c>
    </row>
    <row r="56" spans="1:6" ht="12.75">
      <c r="A56" s="5" t="s">
        <v>59</v>
      </c>
      <c r="B56">
        <v>0</v>
      </c>
      <c r="C56">
        <v>4</v>
      </c>
      <c r="D56">
        <v>4</v>
      </c>
      <c r="E56">
        <v>11</v>
      </c>
      <c r="F56" s="7">
        <v>19</v>
      </c>
    </row>
    <row r="57" ht="3.75" customHeight="1"/>
    <row r="58" ht="12.75">
      <c r="A58" t="s">
        <v>65</v>
      </c>
    </row>
    <row r="59" spans="1:4" ht="12.75">
      <c r="A59" t="s">
        <v>66</v>
      </c>
      <c r="B59" t="s">
        <v>67</v>
      </c>
      <c r="D59">
        <v>44</v>
      </c>
    </row>
    <row r="60" spans="1:4" ht="12.75">
      <c r="A60" s="5" t="s">
        <v>78</v>
      </c>
      <c r="B60" t="s">
        <v>67</v>
      </c>
      <c r="D60">
        <v>158</v>
      </c>
    </row>
    <row r="61" ht="3.75" customHeight="1"/>
    <row r="62" ht="12.75">
      <c r="A62" t="s">
        <v>68</v>
      </c>
    </row>
    <row r="63" spans="1:5" ht="12.75">
      <c r="A63" t="s">
        <v>69</v>
      </c>
      <c r="B63" t="s">
        <v>75</v>
      </c>
      <c r="D63" s="1">
        <v>4.796E-12</v>
      </c>
      <c r="E63" s="1"/>
    </row>
    <row r="64" spans="1:5" ht="12.75">
      <c r="A64" t="s">
        <v>72</v>
      </c>
      <c r="B64" t="s">
        <v>76</v>
      </c>
      <c r="D64" s="1">
        <v>0.000309</v>
      </c>
      <c r="E64" s="1"/>
    </row>
    <row r="65" spans="1:5" ht="12.75">
      <c r="A65" t="s">
        <v>70</v>
      </c>
      <c r="B65" t="s">
        <v>75</v>
      </c>
      <c r="D65" s="4">
        <v>5.4138</v>
      </c>
      <c r="E65" s="4"/>
    </row>
    <row r="66" spans="1:5" ht="12.75">
      <c r="A66" t="s">
        <v>71</v>
      </c>
      <c r="B66" t="s">
        <v>77</v>
      </c>
      <c r="D66" s="4">
        <v>16.087</v>
      </c>
      <c r="E66" s="4"/>
    </row>
    <row r="67" spans="1:5" ht="12.75">
      <c r="A67" t="s">
        <v>73</v>
      </c>
      <c r="B67" t="s">
        <v>67</v>
      </c>
      <c r="D67" s="4">
        <v>35.3486</v>
      </c>
      <c r="E67" s="4"/>
    </row>
    <row r="68" spans="1:5" ht="12.75">
      <c r="A68" t="s">
        <v>74</v>
      </c>
      <c r="B68" t="s">
        <v>67</v>
      </c>
      <c r="D68" s="4">
        <v>70.6971</v>
      </c>
      <c r="E68" s="4"/>
    </row>
  </sheetData>
  <sheetProtection/>
  <mergeCells count="30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28:E28"/>
    <mergeCell ref="D31:E31"/>
    <mergeCell ref="D32:E32"/>
    <mergeCell ref="D33:E33"/>
    <mergeCell ref="D34:E34"/>
  </mergeCells>
  <printOptions horizontalCentered="1" verticalCentered="1"/>
  <pageMargins left="0.7" right="0.7" top="0" bottom="0.45" header="0.2" footer="0.2"/>
  <pageSetup horizontalDpi="600" verticalDpi="600" orientation="portrait" paperSize="9" r:id="rId1"/>
  <headerFooter>
    <oddFooter>&amp;LCompiled by M. Giovannozzi&amp;Cwith input from W. Herr, J. Jowett, &amp;RE. Métral, and E, Shaposhnikova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3" width="10.7109375" style="0" bestFit="1" customWidth="1"/>
    <col min="4" max="4" width="9.57421875" style="0" bestFit="1" customWidth="1"/>
    <col min="5" max="5" width="9.00390625" style="0" bestFit="1" customWidth="1"/>
  </cols>
  <sheetData>
    <row r="1" spans="1:5" ht="12.75">
      <c r="A1" s="5" t="s">
        <v>11</v>
      </c>
      <c r="B1" s="5" t="s">
        <v>12</v>
      </c>
      <c r="C1" t="s">
        <v>23</v>
      </c>
      <c r="D1" s="17" t="s">
        <v>24</v>
      </c>
      <c r="E1" s="17"/>
    </row>
    <row r="2" spans="1:5" ht="12.75">
      <c r="A2" s="5" t="s">
        <v>81</v>
      </c>
      <c r="B2" s="5" t="s">
        <v>22</v>
      </c>
      <c r="C2" s="4">
        <v>0</v>
      </c>
      <c r="D2" s="12">
        <v>0</v>
      </c>
      <c r="E2" s="12"/>
    </row>
    <row r="3" spans="1:5" ht="12.75">
      <c r="A3" s="9" t="s">
        <v>82</v>
      </c>
      <c r="B3" s="5" t="s">
        <v>22</v>
      </c>
      <c r="C3" s="4">
        <f>D3/$C$23*$D$23</f>
        <v>2177.777777777778</v>
      </c>
      <c r="D3" s="12">
        <f>2*70*7/5</f>
        <v>196</v>
      </c>
      <c r="E3" s="12"/>
    </row>
    <row r="4" spans="1:5" ht="12.75">
      <c r="A4" s="9" t="s">
        <v>84</v>
      </c>
      <c r="B4" s="5" t="s">
        <v>22</v>
      </c>
      <c r="C4" s="4">
        <v>0</v>
      </c>
      <c r="D4" s="12">
        <v>0</v>
      </c>
      <c r="E4" s="12"/>
    </row>
    <row r="5" spans="1:5" ht="12.75">
      <c r="A5" s="5" t="s">
        <v>86</v>
      </c>
      <c r="B5" s="5" t="s">
        <v>22</v>
      </c>
      <c r="C5" s="4">
        <f>C3+C4</f>
        <v>2177.777777777778</v>
      </c>
      <c r="D5" s="12">
        <f>D3+D4</f>
        <v>196</v>
      </c>
      <c r="E5" s="12"/>
    </row>
    <row r="6" spans="1:5" ht="12.75">
      <c r="A6" s="9" t="s">
        <v>83</v>
      </c>
      <c r="B6" s="5" t="s">
        <v>22</v>
      </c>
      <c r="C6" s="4">
        <f>D6/$C$23*$D$23</f>
        <v>4200</v>
      </c>
      <c r="D6" s="12">
        <f>2*135*7/5</f>
        <v>378</v>
      </c>
      <c r="E6" s="12"/>
    </row>
    <row r="7" spans="1:5" ht="12.75">
      <c r="A7" s="9" t="s">
        <v>85</v>
      </c>
      <c r="B7" s="5" t="s">
        <v>22</v>
      </c>
      <c r="C7" s="4">
        <v>0</v>
      </c>
      <c r="D7" s="12">
        <v>0</v>
      </c>
      <c r="E7" s="12"/>
    </row>
    <row r="8" spans="1:5" ht="12.75">
      <c r="A8" s="5" t="s">
        <v>87</v>
      </c>
      <c r="B8" s="5" t="s">
        <v>22</v>
      </c>
      <c r="C8" s="4">
        <f>C6+C7</f>
        <v>4200</v>
      </c>
      <c r="D8" s="12">
        <f>D6+D7</f>
        <v>378</v>
      </c>
      <c r="E8" s="12"/>
    </row>
    <row r="9" spans="1:5" ht="12.75">
      <c r="A9" s="5" t="s">
        <v>39</v>
      </c>
      <c r="B9" t="s">
        <v>13</v>
      </c>
      <c r="C9" s="4">
        <v>5</v>
      </c>
      <c r="D9" s="12">
        <f>E9*SQRT($E$34/$D$34)</f>
        <v>0</v>
      </c>
      <c r="E9" s="12"/>
    </row>
    <row r="10" spans="1:5" ht="12.75">
      <c r="A10" t="s">
        <v>0</v>
      </c>
      <c r="B10" t="s">
        <v>13</v>
      </c>
      <c r="C10" s="4">
        <v>0</v>
      </c>
      <c r="D10" s="12">
        <v>0.5</v>
      </c>
      <c r="E10" s="12"/>
    </row>
    <row r="11" spans="1:5" ht="12.75">
      <c r="A11" s="5" t="s">
        <v>40</v>
      </c>
      <c r="B11" t="s">
        <v>13</v>
      </c>
      <c r="C11" s="4">
        <v>4</v>
      </c>
      <c r="D11" s="12">
        <f>E11*SQRT($E$34/$D$34)</f>
        <v>0</v>
      </c>
      <c r="E11" s="12"/>
    </row>
    <row r="12" spans="1:5" ht="12.75">
      <c r="A12" t="s">
        <v>0</v>
      </c>
      <c r="B12" t="s">
        <v>13</v>
      </c>
      <c r="C12" s="4">
        <v>1.5</v>
      </c>
      <c r="D12" s="12">
        <v>0</v>
      </c>
      <c r="E12" s="12"/>
    </row>
    <row r="13" spans="1:5" ht="12.75">
      <c r="A13" s="5" t="s">
        <v>41</v>
      </c>
      <c r="B13" t="s">
        <v>13</v>
      </c>
      <c r="C13" s="4">
        <v>4</v>
      </c>
      <c r="D13" s="12">
        <f>E13*SQRT($E$34/$D$34)</f>
        <v>0</v>
      </c>
      <c r="E13" s="12"/>
    </row>
    <row r="14" spans="1:5" ht="12.75">
      <c r="A14" t="s">
        <v>0</v>
      </c>
      <c r="B14" t="s">
        <v>13</v>
      </c>
      <c r="C14" s="4">
        <v>2</v>
      </c>
      <c r="D14" s="12">
        <v>0</v>
      </c>
      <c r="E14" s="12"/>
    </row>
    <row r="15" spans="1:5" ht="12.75">
      <c r="A15" s="5" t="s">
        <v>27</v>
      </c>
      <c r="B15" t="s">
        <v>14</v>
      </c>
      <c r="C15" s="4">
        <v>11</v>
      </c>
      <c r="D15" s="12">
        <v>3</v>
      </c>
      <c r="E15" s="12"/>
    </row>
    <row r="16" spans="1:5" ht="12.75">
      <c r="A16" s="5" t="s">
        <v>25</v>
      </c>
      <c r="B16" t="s">
        <v>14</v>
      </c>
      <c r="C16" s="4">
        <v>10</v>
      </c>
      <c r="D16" s="12">
        <v>10</v>
      </c>
      <c r="E16" s="12"/>
    </row>
    <row r="17" spans="1:5" ht="12.75">
      <c r="A17" s="5" t="s">
        <v>26</v>
      </c>
      <c r="B17" t="s">
        <v>14</v>
      </c>
      <c r="C17" s="4">
        <v>10</v>
      </c>
      <c r="D17" s="12">
        <v>6</v>
      </c>
      <c r="E17" s="12"/>
    </row>
    <row r="18" spans="1:5" ht="12.75">
      <c r="A18" s="5" t="s">
        <v>28</v>
      </c>
      <c r="C18" s="6" t="s">
        <v>33</v>
      </c>
      <c r="D18" s="15" t="s">
        <v>33</v>
      </c>
      <c r="E18" s="15"/>
    </row>
    <row r="19" spans="1:5" ht="12.75">
      <c r="A19" s="5" t="s">
        <v>29</v>
      </c>
      <c r="C19" s="6" t="s">
        <v>53</v>
      </c>
      <c r="D19" s="15" t="s">
        <v>53</v>
      </c>
      <c r="E19" s="15"/>
    </row>
    <row r="20" spans="1:5" ht="12.75">
      <c r="A20" s="5" t="s">
        <v>30</v>
      </c>
      <c r="C20" s="6" t="s">
        <v>32</v>
      </c>
      <c r="D20" s="15" t="s">
        <v>32</v>
      </c>
      <c r="E20" s="15"/>
    </row>
    <row r="21" spans="1:5" ht="12.75">
      <c r="A21" s="5" t="s">
        <v>31</v>
      </c>
      <c r="C21" s="6" t="s">
        <v>54</v>
      </c>
      <c r="D21" s="15" t="s">
        <v>54</v>
      </c>
      <c r="E21" s="15"/>
    </row>
    <row r="22" spans="3:5" ht="3.75" customHeight="1">
      <c r="C22" s="4"/>
      <c r="D22" s="4"/>
      <c r="E22" s="4"/>
    </row>
    <row r="23" spans="1:5" ht="12.75">
      <c r="A23" t="s">
        <v>1</v>
      </c>
      <c r="B23" t="s">
        <v>15</v>
      </c>
      <c r="C23" s="4">
        <v>0.45</v>
      </c>
      <c r="D23" s="12">
        <v>5</v>
      </c>
      <c r="E23" s="12"/>
    </row>
    <row r="24" spans="1:5" ht="12.75">
      <c r="A24" t="s">
        <v>2</v>
      </c>
      <c r="C24" s="2">
        <v>156</v>
      </c>
      <c r="D24" s="16">
        <f>C24</f>
        <v>156</v>
      </c>
      <c r="E24" s="16"/>
    </row>
    <row r="25" spans="1:5" ht="12.75">
      <c r="A25" t="s">
        <v>3</v>
      </c>
      <c r="C25" s="1">
        <v>90000000000</v>
      </c>
      <c r="D25" s="13">
        <f>C25</f>
        <v>90000000000</v>
      </c>
      <c r="E25" s="13"/>
    </row>
    <row r="26" spans="1:5" ht="12.75">
      <c r="A26" s="5" t="s">
        <v>79</v>
      </c>
      <c r="B26" s="5" t="s">
        <v>80</v>
      </c>
      <c r="C26" s="10" t="s">
        <v>88</v>
      </c>
      <c r="D26" s="10" t="s">
        <v>91</v>
      </c>
      <c r="E26" s="2">
        <v>16</v>
      </c>
    </row>
    <row r="27" spans="1:5" ht="12.75">
      <c r="A27" t="s">
        <v>4</v>
      </c>
      <c r="B27" t="s">
        <v>16</v>
      </c>
      <c r="C27" s="4">
        <v>1</v>
      </c>
      <c r="D27" s="12">
        <v>1</v>
      </c>
      <c r="E27" s="12"/>
    </row>
    <row r="28" spans="1:5" ht="12.75">
      <c r="A28" t="s">
        <v>5</v>
      </c>
      <c r="B28" s="5" t="s">
        <v>21</v>
      </c>
      <c r="C28" s="4">
        <v>3.5</v>
      </c>
      <c r="D28" s="12">
        <v>3.75</v>
      </c>
      <c r="E28" s="12"/>
    </row>
    <row r="29" spans="3:5" ht="3.75" customHeight="1">
      <c r="C29" s="4"/>
      <c r="D29" s="4"/>
      <c r="E29" s="4"/>
    </row>
    <row r="30" spans="1:5" ht="12.75">
      <c r="A30" t="s">
        <v>6</v>
      </c>
      <c r="B30" t="s">
        <v>12</v>
      </c>
      <c r="C30" s="4"/>
      <c r="D30" s="4"/>
      <c r="E30" s="4"/>
    </row>
    <row r="31" spans="1:5" ht="12.75">
      <c r="A31" t="s">
        <v>7</v>
      </c>
      <c r="C31" s="1">
        <f>C25*C24</f>
        <v>14040000000000</v>
      </c>
      <c r="D31" s="13">
        <f>C31</f>
        <v>14040000000000</v>
      </c>
      <c r="E31" s="13"/>
    </row>
    <row r="32" spans="1:5" ht="12.75">
      <c r="A32" t="s">
        <v>8</v>
      </c>
      <c r="B32" t="s">
        <v>17</v>
      </c>
      <c r="C32" s="4">
        <f>C31*0.00000000000000000016*11245*1000</f>
        <v>25.260767999999995</v>
      </c>
      <c r="D32" s="12">
        <f>C32</f>
        <v>25.260767999999995</v>
      </c>
      <c r="E32" s="12"/>
    </row>
    <row r="33" spans="1:5" ht="12.75">
      <c r="A33" t="s">
        <v>9</v>
      </c>
      <c r="B33" t="s">
        <v>18</v>
      </c>
      <c r="C33" s="4">
        <f>C31*C23*1000000000000/6240000000000000000/1000000</f>
        <v>1.0125</v>
      </c>
      <c r="D33" s="12">
        <f>D31*D23*1000000000000/6240000000000000000/1000000</f>
        <v>11.25</v>
      </c>
      <c r="E33" s="12"/>
    </row>
    <row r="34" spans="1:5" ht="12.75">
      <c r="A34" t="s">
        <v>10</v>
      </c>
      <c r="C34" s="4">
        <v>479.60117645102804</v>
      </c>
      <c r="D34" s="12">
        <v>5328.901866739018</v>
      </c>
      <c r="E34" s="12"/>
    </row>
    <row r="35" spans="1:5" ht="12.75">
      <c r="A35" s="5" t="s">
        <v>42</v>
      </c>
      <c r="B35" t="s">
        <v>19</v>
      </c>
      <c r="C35" s="4" t="s">
        <v>90</v>
      </c>
      <c r="D35" s="4">
        <v>6.49</v>
      </c>
      <c r="E35" s="4">
        <v>5.41</v>
      </c>
    </row>
    <row r="36" spans="1:5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0.04594702533539507</v>
      </c>
      <c r="E36" s="3">
        <f>SQRT(D$28*D15/D$34)</f>
        <v>0.04594702533539507</v>
      </c>
    </row>
    <row r="37" spans="1:5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0.08388740742152416</v>
      </c>
      <c r="E37" s="3">
        <f>SQRT(D$28*D16/D$34)</f>
        <v>0.08388740742152416</v>
      </c>
    </row>
    <row r="38" spans="1:5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0.06497890638001591</v>
      </c>
      <c r="E38" s="3">
        <f>SQRT(D$28*D17/D$34)</f>
        <v>0.06497890638001591</v>
      </c>
    </row>
    <row r="39" spans="1:5" ht="12.75">
      <c r="A39" s="5" t="s">
        <v>52</v>
      </c>
      <c r="B39" s="5"/>
      <c r="C39" s="4"/>
      <c r="D39" s="3">
        <f>1/SQRT(1+(D2/1000000*D$35*10/2/D36)^2)</f>
        <v>1</v>
      </c>
      <c r="E39" s="3">
        <f>1/SQRT(1+(D2/1000000*E$35*10/2/E36)^2)</f>
        <v>1</v>
      </c>
    </row>
    <row r="40" spans="1:5" ht="12.75">
      <c r="A40" s="5" t="s">
        <v>37</v>
      </c>
      <c r="B40" s="5"/>
      <c r="C40" s="4"/>
      <c r="D40" s="3">
        <f>1/SQRT(1+(D5/1000000*D$35*10/2/D37)^2)</f>
        <v>0.9971381257884615</v>
      </c>
      <c r="E40" s="3">
        <f>1/SQRT(1+(D5/1000000*E$35*10/2/E37)^2)</f>
        <v>0.9980087561264165</v>
      </c>
    </row>
    <row r="41" spans="1:5" ht="12.75">
      <c r="A41" s="5" t="s">
        <v>38</v>
      </c>
      <c r="C41" s="4"/>
      <c r="D41" s="3">
        <f>1/SQRT(1+(D8/1000000*D$35*10/2/D38)^2)</f>
        <v>0.9826453142669674</v>
      </c>
      <c r="E41" s="3">
        <f>1/SQRT(1+(D8/1000000*E$35*10/2/E38)^2)</f>
        <v>0.9878446297283019</v>
      </c>
    </row>
    <row r="42" spans="1:5" ht="12.75">
      <c r="A42" s="5" t="s">
        <v>43</v>
      </c>
      <c r="C42" s="4"/>
      <c r="D42" s="2">
        <v>156</v>
      </c>
      <c r="E42" s="2">
        <v>156</v>
      </c>
    </row>
    <row r="43" spans="1:5" ht="12.75">
      <c r="A43" s="5" t="s">
        <v>44</v>
      </c>
      <c r="C43" s="4"/>
      <c r="D43" s="2">
        <v>16</v>
      </c>
      <c r="E43" s="2">
        <v>16</v>
      </c>
    </row>
    <row r="44" spans="1:5" ht="12.75">
      <c r="A44" s="5" t="s">
        <v>45</v>
      </c>
      <c r="C44" s="4"/>
      <c r="D44" s="2">
        <v>68</v>
      </c>
      <c r="E44" s="2">
        <v>68</v>
      </c>
    </row>
    <row r="45" spans="1:5" ht="12.75">
      <c r="A45" s="5" t="s">
        <v>46</v>
      </c>
      <c r="B45" t="s">
        <v>20</v>
      </c>
      <c r="C45" s="4"/>
      <c r="D45" s="1">
        <f>D$25^2*D42*11245*D$34/4/PI()/(D$28/1000000*100)/(D15*100)*D39</f>
        <v>5.356047417408032E+31</v>
      </c>
      <c r="E45" s="1">
        <f>D$25^2*E42*11245*D$34/4/PI()/(D$28/1000000*100)/(D15*100)*E39</f>
        <v>5.356047417408032E+31</v>
      </c>
    </row>
    <row r="46" spans="1:5" ht="12.75">
      <c r="A46" s="5" t="s">
        <v>47</v>
      </c>
      <c r="B46" t="s">
        <v>20</v>
      </c>
      <c r="C46" s="4"/>
      <c r="D46" s="1">
        <f>D$25^2*D43*11245*D$34/4/PI()/(D$28/1000000*100)/(D16*100)*D40</f>
        <v>1.643298179516423E+30</v>
      </c>
      <c r="E46" s="1">
        <f>D$25^2*E43*11245*D$34/4/PI()/(D$28/1000000*100)/(D16*100)*E40</f>
        <v>1.6447329910158447E+30</v>
      </c>
    </row>
    <row r="47" spans="1:5" ht="12.75">
      <c r="A47" s="5" t="s">
        <v>48</v>
      </c>
      <c r="B47" t="s">
        <v>20</v>
      </c>
      <c r="C47" s="4"/>
      <c r="D47" s="1">
        <f>D$25^2*D44*11245*D$34/4/PI()/(D$28/1000000*100)/(D17*100)*D41</f>
        <v>1.147084785397831E+31</v>
      </c>
      <c r="E47" s="1">
        <f>D$25^2*E44*11245*D$34/4/PI()/(D$28/1000000*100)/(D17*100)*E41</f>
        <v>1.1531541733790166E+31</v>
      </c>
    </row>
    <row r="48" spans="1:5" ht="12.75">
      <c r="A48" s="5" t="s">
        <v>49</v>
      </c>
      <c r="C48" s="4"/>
      <c r="D48" s="4">
        <f aca="true" t="shared" si="1" ref="D48:E50">D45*60/1000*1E-24/D42/(11245)</f>
        <v>1.8319415184211898</v>
      </c>
      <c r="E48" s="4">
        <f t="shared" si="1"/>
        <v>1.8319415184211898</v>
      </c>
    </row>
    <row r="49" spans="1:5" ht="12.75">
      <c r="A49" s="5" t="s">
        <v>50</v>
      </c>
      <c r="D49" s="4">
        <f t="shared" si="1"/>
        <v>0.548009619669772</v>
      </c>
      <c r="E49" s="4">
        <f t="shared" si="1"/>
        <v>0.548488102828761</v>
      </c>
    </row>
    <row r="50" spans="1:5" ht="12.75">
      <c r="A50" s="5" t="s">
        <v>51</v>
      </c>
      <c r="D50" s="4">
        <f t="shared" si="1"/>
        <v>0.9000743745438475</v>
      </c>
      <c r="E50" s="4">
        <f t="shared" si="1"/>
        <v>0.9048367954743415</v>
      </c>
    </row>
    <row r="51" ht="3.7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/>
      <c r="F52" s="5"/>
    </row>
    <row r="53" spans="1:4" ht="12.75">
      <c r="A53" s="5" t="s">
        <v>56</v>
      </c>
      <c r="B53">
        <v>156</v>
      </c>
      <c r="C53">
        <v>156</v>
      </c>
      <c r="D53" s="7">
        <v>156</v>
      </c>
    </row>
    <row r="54" spans="1:4" ht="12.75">
      <c r="A54" s="5" t="s">
        <v>57</v>
      </c>
      <c r="B54">
        <v>152</v>
      </c>
      <c r="C54">
        <v>76</v>
      </c>
      <c r="D54" s="7">
        <v>16</v>
      </c>
    </row>
    <row r="55" spans="1:4" ht="12.75">
      <c r="A55" s="5" t="s">
        <v>58</v>
      </c>
      <c r="B55">
        <f>B53</f>
        <v>156</v>
      </c>
      <c r="C55">
        <f>C53</f>
        <v>156</v>
      </c>
      <c r="D55" s="7">
        <f>D53</f>
        <v>156</v>
      </c>
    </row>
    <row r="56" spans="1:4" ht="12.75">
      <c r="A56" s="5" t="s">
        <v>59</v>
      </c>
      <c r="B56">
        <v>0</v>
      </c>
      <c r="C56">
        <v>36</v>
      </c>
      <c r="D56" s="7">
        <v>68</v>
      </c>
    </row>
    <row r="57" ht="3.75" customHeight="1"/>
    <row r="58" ht="12.75">
      <c r="A58" t="s">
        <v>65</v>
      </c>
    </row>
    <row r="59" spans="1:4" ht="12.75">
      <c r="A59" t="s">
        <v>66</v>
      </c>
      <c r="B59" t="s">
        <v>67</v>
      </c>
      <c r="D59">
        <v>20</v>
      </c>
    </row>
    <row r="60" spans="1:4" ht="12.75">
      <c r="A60" s="5" t="s">
        <v>78</v>
      </c>
      <c r="B60" t="s">
        <v>67</v>
      </c>
      <c r="D60">
        <v>70</v>
      </c>
    </row>
    <row r="61" ht="3.75" customHeight="1"/>
    <row r="62" ht="12.75">
      <c r="A62" t="s">
        <v>68</v>
      </c>
    </row>
    <row r="63" spans="1:5" ht="12.75">
      <c r="A63" t="s">
        <v>69</v>
      </c>
      <c r="B63" t="s">
        <v>75</v>
      </c>
      <c r="D63" s="1">
        <v>4.796E-12</v>
      </c>
      <c r="E63" s="1"/>
    </row>
    <row r="64" spans="1:5" ht="12.75">
      <c r="A64" t="s">
        <v>72</v>
      </c>
      <c r="B64" t="s">
        <v>76</v>
      </c>
      <c r="D64" s="1">
        <v>0.000696287</v>
      </c>
      <c r="E64" s="1"/>
    </row>
    <row r="65" spans="1:5" ht="12.75">
      <c r="A65" t="s">
        <v>70</v>
      </c>
      <c r="B65" t="s">
        <v>75</v>
      </c>
      <c r="D65" s="4">
        <v>12.1811</v>
      </c>
      <c r="E65" s="4"/>
    </row>
    <row r="66" spans="1:5" ht="12.75">
      <c r="A66" t="s">
        <v>71</v>
      </c>
      <c r="B66" t="s">
        <v>77</v>
      </c>
      <c r="D66" s="4">
        <v>16.087</v>
      </c>
      <c r="E66" s="4"/>
    </row>
    <row r="67" spans="1:5" ht="12.75">
      <c r="A67" t="s">
        <v>73</v>
      </c>
      <c r="B67" t="s">
        <v>67</v>
      </c>
      <c r="D67" s="4">
        <v>35.3486</v>
      </c>
      <c r="E67" s="4"/>
    </row>
    <row r="68" spans="1:5" ht="12.75">
      <c r="A68" t="s">
        <v>74</v>
      </c>
      <c r="B68" t="s">
        <v>67</v>
      </c>
      <c r="D68" s="4">
        <v>70.6971</v>
      </c>
      <c r="E68" s="4"/>
    </row>
  </sheetData>
  <sheetProtection/>
  <mergeCells count="30">
    <mergeCell ref="D31:E31"/>
    <mergeCell ref="D32:E32"/>
    <mergeCell ref="D33:E33"/>
    <mergeCell ref="D34:E34"/>
    <mergeCell ref="D27:E27"/>
    <mergeCell ref="D28:E28"/>
    <mergeCell ref="D25:E25"/>
    <mergeCell ref="D24:E24"/>
    <mergeCell ref="D23:E23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D2:E2"/>
    <mergeCell ref="D1:E1"/>
  </mergeCells>
  <printOptions horizontalCentered="1" verticalCentered="1"/>
  <pageMargins left="0.7" right="0.7" top="0" bottom="0.45" header="0.2" footer="0.2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5" width="9.00390625" style="0" bestFit="1" customWidth="1"/>
  </cols>
  <sheetData>
    <row r="1" spans="1:4" ht="12.75">
      <c r="A1" s="5" t="s">
        <v>11</v>
      </c>
      <c r="B1" s="5" t="s">
        <v>12</v>
      </c>
      <c r="C1" t="s">
        <v>23</v>
      </c>
      <c r="D1" t="s">
        <v>24</v>
      </c>
    </row>
    <row r="2" spans="1:4" ht="12.75">
      <c r="A2" s="5" t="s">
        <v>81</v>
      </c>
      <c r="B2" s="5" t="s">
        <v>22</v>
      </c>
      <c r="C2" s="4">
        <v>0</v>
      </c>
      <c r="D2" s="4">
        <v>0</v>
      </c>
    </row>
    <row r="3" spans="1:4" ht="12.75">
      <c r="A3" s="9" t="s">
        <v>82</v>
      </c>
      <c r="B3" s="5" t="s">
        <v>22</v>
      </c>
      <c r="C3" s="4">
        <f>D3/$C$23*$D$23</f>
        <v>2177.7777777777774</v>
      </c>
      <c r="D3" s="4">
        <f>2*70</f>
        <v>140</v>
      </c>
    </row>
    <row r="4" spans="1:4" ht="12.75">
      <c r="A4" s="9" t="s">
        <v>84</v>
      </c>
      <c r="B4" s="5" t="s">
        <v>22</v>
      </c>
      <c r="C4" s="4">
        <v>0</v>
      </c>
      <c r="D4" s="4">
        <v>0</v>
      </c>
    </row>
    <row r="5" spans="1:4" ht="12.75">
      <c r="A5" s="5" t="s">
        <v>86</v>
      </c>
      <c r="B5" s="5" t="s">
        <v>22</v>
      </c>
      <c r="C5" s="4">
        <f>C3+C4</f>
        <v>2177.7777777777774</v>
      </c>
      <c r="D5" s="4">
        <f>D3+D4</f>
        <v>140</v>
      </c>
    </row>
    <row r="6" spans="1:4" ht="12.75">
      <c r="A6" s="9" t="s">
        <v>83</v>
      </c>
      <c r="B6" s="5" t="s">
        <v>22</v>
      </c>
      <c r="C6" s="4">
        <f>D6/$C$23*$D$23</f>
        <v>4200</v>
      </c>
      <c r="D6" s="4">
        <f>2*135</f>
        <v>270</v>
      </c>
    </row>
    <row r="7" spans="1:4" ht="12.75">
      <c r="A7" s="9" t="s">
        <v>85</v>
      </c>
      <c r="B7" s="5" t="s">
        <v>22</v>
      </c>
      <c r="C7" s="4">
        <v>0</v>
      </c>
      <c r="D7" s="4">
        <v>0</v>
      </c>
    </row>
    <row r="8" spans="1:4" ht="12.75">
      <c r="A8" s="5" t="s">
        <v>87</v>
      </c>
      <c r="B8" s="5" t="s">
        <v>22</v>
      </c>
      <c r="C8" s="4">
        <f>C6+C7</f>
        <v>4200</v>
      </c>
      <c r="D8" s="4">
        <f>D6+D7</f>
        <v>270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2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2</v>
      </c>
    </row>
    <row r="18" spans="1:4" ht="12.75">
      <c r="A18" s="5" t="s">
        <v>28</v>
      </c>
      <c r="C18" s="6" t="s">
        <v>33</v>
      </c>
      <c r="D18" s="6" t="s">
        <v>33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32</v>
      </c>
      <c r="D20" s="6" t="s">
        <v>32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43</v>
      </c>
      <c r="D24" s="2">
        <f>C24</f>
        <v>43</v>
      </c>
    </row>
    <row r="25" spans="1:4" ht="12.75">
      <c r="A25" t="s">
        <v>3</v>
      </c>
      <c r="C25" s="1">
        <v>40000000000</v>
      </c>
      <c r="D25" s="1">
        <f>C25</f>
        <v>40000000000</v>
      </c>
    </row>
    <row r="26" spans="1:4" ht="12.75">
      <c r="A26" s="5" t="s">
        <v>79</v>
      </c>
      <c r="B26" s="5" t="s">
        <v>80</v>
      </c>
      <c r="C26" s="2">
        <v>8</v>
      </c>
      <c r="D26" s="2">
        <v>16</v>
      </c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1720000000000</v>
      </c>
      <c r="D31" s="1">
        <f>C31</f>
        <v>1720000000000</v>
      </c>
    </row>
    <row r="32" spans="1:4" ht="12.75">
      <c r="A32" t="s">
        <v>8</v>
      </c>
      <c r="B32" t="s">
        <v>17</v>
      </c>
      <c r="C32" s="4">
        <f>C31*0.00000000000000000016*11245*1000</f>
        <v>3.0946239999999996</v>
      </c>
      <c r="D32" s="4">
        <f>C32</f>
        <v>3.0946239999999996</v>
      </c>
    </row>
    <row r="33" spans="1:4" ht="12.75">
      <c r="A33" t="s">
        <v>9</v>
      </c>
      <c r="B33" t="s">
        <v>18</v>
      </c>
      <c r="C33" s="4">
        <f>C31*C23*1000000000000/6240000000000000000/1000000</f>
        <v>0.12403846153846154</v>
      </c>
      <c r="D33" s="4">
        <f>D31*D23*1000000000000/6240000000000000000/1000000</f>
        <v>1.9294871794871795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0.031706459601468166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0.031706459601468166</v>
      </c>
    </row>
    <row r="39" spans="1:4" ht="12.75">
      <c r="A39" s="5" t="s">
        <v>52</v>
      </c>
      <c r="B39" s="5"/>
      <c r="C39" s="4"/>
      <c r="D39" s="3">
        <f>1/SQRT(1+(D2/1000000*D$35*10/2/D36)^2)</f>
        <v>1</v>
      </c>
    </row>
    <row r="40" spans="1:4" ht="12.75">
      <c r="A40" s="5" t="s">
        <v>37</v>
      </c>
      <c r="B40" s="5"/>
      <c r="C40" s="4"/>
      <c r="D40" s="3">
        <f>1/SQRT(1+(D5/1000000*D$35*10/2/D37)^2)</f>
        <v>0.9972331277288644</v>
      </c>
    </row>
    <row r="41" spans="1:4" ht="12.75">
      <c r="A41" s="5" t="s">
        <v>38</v>
      </c>
      <c r="C41" s="4"/>
      <c r="D41" s="3">
        <f>1/SQRT(1+(D8/1000000*D$35*10/2/D38)^2)</f>
        <v>0.9520186062976324</v>
      </c>
    </row>
    <row r="42" spans="1:4" ht="12.75">
      <c r="A42" s="5" t="s">
        <v>43</v>
      </c>
      <c r="C42" s="4"/>
      <c r="D42" s="2">
        <v>43</v>
      </c>
    </row>
    <row r="43" spans="1:4" ht="12.75">
      <c r="A43" s="5" t="s">
        <v>44</v>
      </c>
      <c r="C43" s="4"/>
      <c r="D43" s="2">
        <v>4</v>
      </c>
    </row>
    <row r="44" spans="1:4" ht="12.75">
      <c r="A44" s="5" t="s">
        <v>45</v>
      </c>
      <c r="C44" s="4"/>
      <c r="D44" s="2">
        <v>19</v>
      </c>
    </row>
    <row r="45" spans="1:4" ht="12.75">
      <c r="A45" s="5" t="s">
        <v>46</v>
      </c>
      <c r="B45" t="s">
        <v>20</v>
      </c>
      <c r="C45" s="4"/>
      <c r="D45" s="1">
        <f>D$25^2*D42*11245*D$34/4/PI()/(D$28/1000000*100)/(D15*100)*D39</f>
        <v>6.124103652585772E+30</v>
      </c>
    </row>
    <row r="46" spans="1:4" ht="12.75">
      <c r="A46" s="5" t="s">
        <v>47</v>
      </c>
      <c r="B46" t="s">
        <v>20</v>
      </c>
      <c r="C46" s="4"/>
      <c r="D46" s="1">
        <f>D$25^2*D43*11245*D$34/4/PI()/(D$28/1000000*100)/(D16*100)*D40</f>
        <v>1.1362156353495577E+29</v>
      </c>
    </row>
    <row r="47" spans="1:4" ht="12.75">
      <c r="A47" s="5" t="s">
        <v>48</v>
      </c>
      <c r="B47" t="s">
        <v>20</v>
      </c>
      <c r="C47" s="4"/>
      <c r="D47" s="1">
        <f>D$25^2*D44*11245*D$34/4/PI()/(D$28/1000000*100)/(D17*100)*D41</f>
        <v>2.576161671139116E+30</v>
      </c>
    </row>
    <row r="48" spans="1:4" ht="12.75">
      <c r="A48" s="5" t="s">
        <v>49</v>
      </c>
      <c r="C48" s="4"/>
      <c r="D48" s="4">
        <f>D45*60/1000*1E-24/D42/(11245)</f>
        <v>0.7599164882689904</v>
      </c>
    </row>
    <row r="49" spans="1:4" ht="12.75">
      <c r="A49" s="5" t="s">
        <v>50</v>
      </c>
      <c r="D49" s="4">
        <f>D46*60/1000*1E-24/D43/(11245)</f>
        <v>0.15156277928184406</v>
      </c>
    </row>
    <row r="50" spans="1:4" ht="12.75">
      <c r="A50" s="5" t="s">
        <v>51</v>
      </c>
      <c r="D50" s="4">
        <f>D47*60/1000*1E-24/D44/(11245)</f>
        <v>0.7234546360644355</v>
      </c>
    </row>
    <row r="51" ht="3.7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 t="s">
        <v>63</v>
      </c>
      <c r="F52" s="5" t="s">
        <v>64</v>
      </c>
    </row>
    <row r="53" spans="1:6" ht="12.75">
      <c r="A53" s="5" t="s">
        <v>56</v>
      </c>
      <c r="B53">
        <v>43</v>
      </c>
      <c r="C53">
        <v>39</v>
      </c>
      <c r="D53">
        <v>43</v>
      </c>
      <c r="E53">
        <v>43</v>
      </c>
      <c r="F53" s="7">
        <v>43</v>
      </c>
    </row>
    <row r="54" spans="1:6" ht="12.75">
      <c r="A54" s="5" t="s">
        <v>57</v>
      </c>
      <c r="B54">
        <v>42</v>
      </c>
      <c r="C54">
        <v>38</v>
      </c>
      <c r="D54">
        <v>34</v>
      </c>
      <c r="E54">
        <v>21</v>
      </c>
      <c r="F54" s="7">
        <v>4</v>
      </c>
    </row>
    <row r="55" spans="1:6" ht="12.75">
      <c r="A55" s="5" t="s">
        <v>58</v>
      </c>
      <c r="B55">
        <f>B53</f>
        <v>43</v>
      </c>
      <c r="C55">
        <f>C53</f>
        <v>39</v>
      </c>
      <c r="D55">
        <f>D53</f>
        <v>43</v>
      </c>
      <c r="E55">
        <f>E53</f>
        <v>43</v>
      </c>
      <c r="F55" s="7">
        <f>F53</f>
        <v>43</v>
      </c>
    </row>
    <row r="56" spans="1:6" ht="12.75">
      <c r="A56" s="5" t="s">
        <v>59</v>
      </c>
      <c r="B56">
        <v>0</v>
      </c>
      <c r="C56">
        <v>4</v>
      </c>
      <c r="D56">
        <v>4</v>
      </c>
      <c r="E56">
        <v>11</v>
      </c>
      <c r="F56" s="7">
        <v>19</v>
      </c>
    </row>
    <row r="57" ht="3.75" customHeight="1"/>
    <row r="58" ht="12.75">
      <c r="A58" t="s">
        <v>65</v>
      </c>
    </row>
    <row r="59" spans="1:4" ht="12.75">
      <c r="A59" t="s">
        <v>66</v>
      </c>
      <c r="B59" t="s">
        <v>67</v>
      </c>
      <c r="D59">
        <v>40</v>
      </c>
    </row>
    <row r="60" spans="1:4" ht="12.75">
      <c r="A60" s="5" t="s">
        <v>78</v>
      </c>
      <c r="B60" t="s">
        <v>67</v>
      </c>
      <c r="D60">
        <v>167</v>
      </c>
    </row>
    <row r="61" ht="3.75" customHeight="1"/>
    <row r="62" ht="12.75">
      <c r="A62" t="s">
        <v>68</v>
      </c>
    </row>
    <row r="63" spans="1:4" ht="12.75">
      <c r="A63" t="s">
        <v>69</v>
      </c>
      <c r="B63" t="s">
        <v>75</v>
      </c>
      <c r="D63" s="1">
        <v>1.8426E-11</v>
      </c>
    </row>
    <row r="64" spans="1:4" ht="12.75">
      <c r="A64" t="s">
        <v>72</v>
      </c>
      <c r="B64" t="s">
        <v>76</v>
      </c>
      <c r="D64" s="1">
        <v>0.0011888</v>
      </c>
    </row>
    <row r="65" spans="1:4" ht="12.75">
      <c r="A65" t="s">
        <v>70</v>
      </c>
      <c r="B65" t="s">
        <v>75</v>
      </c>
      <c r="D65" s="4">
        <v>20.7978</v>
      </c>
    </row>
    <row r="66" spans="1:4" ht="12.75">
      <c r="A66" t="s">
        <v>71</v>
      </c>
      <c r="B66" t="s">
        <v>77</v>
      </c>
      <c r="D66" s="4">
        <v>44.1435</v>
      </c>
    </row>
    <row r="67" spans="1:4" ht="12.75">
      <c r="A67" t="s">
        <v>73</v>
      </c>
      <c r="B67" t="s">
        <v>67</v>
      </c>
      <c r="D67" s="4">
        <v>12.8821</v>
      </c>
    </row>
    <row r="68" spans="1:4" ht="12.75">
      <c r="A68" t="s">
        <v>74</v>
      </c>
      <c r="B68" t="s">
        <v>67</v>
      </c>
      <c r="D68" s="4">
        <v>25.7643</v>
      </c>
    </row>
  </sheetData>
  <sheetProtection/>
  <printOptions horizontalCentered="1" verticalCentered="1"/>
  <pageMargins left="0.7" right="0.7" top="0" bottom="0.45" header="0.2" footer="0.2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3" width="9.00390625" style="0" bestFit="1" customWidth="1"/>
    <col min="4" max="4" width="9.57421875" style="0" bestFit="1" customWidth="1"/>
    <col min="5" max="5" width="9.00390625" style="0" bestFit="1" customWidth="1"/>
  </cols>
  <sheetData>
    <row r="1" spans="1:4" ht="12.75">
      <c r="A1" s="5" t="s">
        <v>11</v>
      </c>
      <c r="B1" s="5" t="s">
        <v>12</v>
      </c>
      <c r="C1" t="s">
        <v>23</v>
      </c>
      <c r="D1" t="s">
        <v>24</v>
      </c>
    </row>
    <row r="2" spans="1:4" ht="12.75">
      <c r="A2" s="5" t="s">
        <v>81</v>
      </c>
      <c r="B2" s="5" t="s">
        <v>22</v>
      </c>
      <c r="C2" s="4">
        <v>0</v>
      </c>
      <c r="D2" s="4">
        <v>0</v>
      </c>
    </row>
    <row r="3" spans="1:4" ht="12.75">
      <c r="A3" s="9" t="s">
        <v>82</v>
      </c>
      <c r="B3" s="5" t="s">
        <v>22</v>
      </c>
      <c r="C3" s="4">
        <f>D3/$C$23*$D$23</f>
        <v>2177.7777777777774</v>
      </c>
      <c r="D3" s="4">
        <f>2*70</f>
        <v>140</v>
      </c>
    </row>
    <row r="4" spans="1:4" ht="12.75">
      <c r="A4" s="9" t="s">
        <v>84</v>
      </c>
      <c r="B4" s="5" t="s">
        <v>22</v>
      </c>
      <c r="C4" s="4">
        <v>0</v>
      </c>
      <c r="D4" s="4">
        <v>0</v>
      </c>
    </row>
    <row r="5" spans="1:4" ht="12.75">
      <c r="A5" s="5" t="s">
        <v>86</v>
      </c>
      <c r="B5" s="5" t="s">
        <v>22</v>
      </c>
      <c r="C5" s="4">
        <f>C3+C4</f>
        <v>2177.7777777777774</v>
      </c>
      <c r="D5" s="4">
        <f>D3+D4</f>
        <v>140</v>
      </c>
    </row>
    <row r="6" spans="1:4" ht="12.75">
      <c r="A6" s="9" t="s">
        <v>83</v>
      </c>
      <c r="B6" s="5" t="s">
        <v>22</v>
      </c>
      <c r="C6" s="4">
        <f>D6/$C$23*$D$23</f>
        <v>4200</v>
      </c>
      <c r="D6" s="4">
        <f>2*135</f>
        <v>270</v>
      </c>
    </row>
    <row r="7" spans="1:4" ht="12.75">
      <c r="A7" s="9" t="s">
        <v>85</v>
      </c>
      <c r="B7" s="5" t="s">
        <v>22</v>
      </c>
      <c r="C7" s="4">
        <v>0</v>
      </c>
      <c r="D7" s="4">
        <v>0</v>
      </c>
    </row>
    <row r="8" spans="1:4" ht="12.75">
      <c r="A8" s="5" t="s">
        <v>87</v>
      </c>
      <c r="B8" s="5" t="s">
        <v>22</v>
      </c>
      <c r="C8" s="4">
        <f>C6+C7</f>
        <v>4200</v>
      </c>
      <c r="D8" s="4">
        <f>D6+D7</f>
        <v>270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2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2</v>
      </c>
    </row>
    <row r="18" spans="1:4" ht="12.75">
      <c r="A18" s="5" t="s">
        <v>28</v>
      </c>
      <c r="C18" s="6" t="s">
        <v>33</v>
      </c>
      <c r="D18" s="6" t="s">
        <v>33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32</v>
      </c>
      <c r="D20" s="6" t="s">
        <v>32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156</v>
      </c>
      <c r="D24" s="2">
        <f>C24</f>
        <v>156</v>
      </c>
    </row>
    <row r="25" spans="1:4" ht="12.75">
      <c r="A25" t="s">
        <v>3</v>
      </c>
      <c r="C25" s="1">
        <v>90000000000</v>
      </c>
      <c r="D25" s="1">
        <f>C25</f>
        <v>90000000000</v>
      </c>
    </row>
    <row r="26" spans="1:4" ht="12.75">
      <c r="A26" s="5" t="s">
        <v>79</v>
      </c>
      <c r="B26" s="5" t="s">
        <v>80</v>
      </c>
      <c r="C26" s="2">
        <v>8</v>
      </c>
      <c r="D26" s="2">
        <v>16</v>
      </c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14040000000000</v>
      </c>
      <c r="D31" s="1">
        <f>C31</f>
        <v>14040000000000</v>
      </c>
    </row>
    <row r="32" spans="1:4" ht="12.75">
      <c r="A32" t="s">
        <v>8</v>
      </c>
      <c r="B32" t="s">
        <v>17</v>
      </c>
      <c r="C32" s="4">
        <f>C31*0.00000000000000000016*11245*1000</f>
        <v>25.260767999999995</v>
      </c>
      <c r="D32" s="4">
        <f>C32</f>
        <v>25.260767999999995</v>
      </c>
    </row>
    <row r="33" spans="1:4" ht="12.75">
      <c r="A33" t="s">
        <v>9</v>
      </c>
      <c r="B33" t="s">
        <v>18</v>
      </c>
      <c r="C33" s="4">
        <f>C31*C23*1000000000000/6240000000000000000/1000000</f>
        <v>1.0125</v>
      </c>
      <c r="D33" s="4">
        <f>D31*D23*1000000000000/6240000000000000000/1000000</f>
        <v>15.75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0.031706459601468166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0.031706459601468166</v>
      </c>
    </row>
    <row r="39" spans="1:4" ht="12.75">
      <c r="A39" s="5" t="s">
        <v>52</v>
      </c>
      <c r="B39" s="5"/>
      <c r="C39" s="4"/>
      <c r="D39" s="3">
        <f>1/SQRT(1+(D2/1000000*D$35*10/2/D36)^2)</f>
        <v>1</v>
      </c>
    </row>
    <row r="40" spans="1:4" ht="12.75">
      <c r="A40" s="5" t="s">
        <v>37</v>
      </c>
      <c r="B40" s="5"/>
      <c r="C40" s="4"/>
      <c r="D40" s="3">
        <f>1/SQRT(1+(D5/1000000*D$35*10/2/D37)^2)</f>
        <v>0.9972331277288644</v>
      </c>
    </row>
    <row r="41" spans="1:4" ht="12.75">
      <c r="A41" s="5" t="s">
        <v>38</v>
      </c>
      <c r="C41" s="4"/>
      <c r="D41" s="3">
        <f>1/SQRT(1+(D8/1000000*D$35*10/2/D38)^2)</f>
        <v>0.9520186062976324</v>
      </c>
    </row>
    <row r="42" spans="1:4" ht="12.75">
      <c r="A42" s="5" t="s">
        <v>43</v>
      </c>
      <c r="C42" s="4"/>
      <c r="D42" s="2">
        <v>156</v>
      </c>
    </row>
    <row r="43" spans="1:4" ht="12.75">
      <c r="A43" s="5" t="s">
        <v>44</v>
      </c>
      <c r="C43" s="4"/>
      <c r="D43" s="2">
        <v>16</v>
      </c>
    </row>
    <row r="44" spans="1:4" ht="12.75">
      <c r="A44" s="5" t="s">
        <v>45</v>
      </c>
      <c r="C44" s="4"/>
      <c r="D44" s="2">
        <v>68</v>
      </c>
    </row>
    <row r="45" spans="1:4" ht="12.75">
      <c r="A45" s="5" t="s">
        <v>46</v>
      </c>
      <c r="B45" t="s">
        <v>20</v>
      </c>
      <c r="C45" s="4"/>
      <c r="D45" s="1">
        <f>D$25^2*D42*11245*D$34/4/PI()/(D$28/1000000*100)/(D15*100)*D39</f>
        <v>1.1247699673557243E+32</v>
      </c>
    </row>
    <row r="46" spans="1:4" ht="12.75">
      <c r="A46" s="5" t="s">
        <v>47</v>
      </c>
      <c r="B46" t="s">
        <v>20</v>
      </c>
      <c r="C46" s="4"/>
      <c r="D46" s="1">
        <f>D$25^2*D43*11245*D$34/4/PI()/(D$28/1000000*100)/(D16*100)*D40</f>
        <v>2.3008366615828547E+30</v>
      </c>
    </row>
    <row r="47" spans="1:4" ht="12.75">
      <c r="A47" s="5" t="s">
        <v>48</v>
      </c>
      <c r="B47" t="s">
        <v>20</v>
      </c>
      <c r="C47" s="4"/>
      <c r="D47" s="1">
        <f>D$25^2*D44*11245*D$34/4/PI()/(D$28/1000000*100)/(D17*100)*D41</f>
        <v>4.6675981857349515E+31</v>
      </c>
    </row>
    <row r="48" spans="1:4" ht="12.75">
      <c r="A48" s="5" t="s">
        <v>49</v>
      </c>
      <c r="C48" s="4"/>
      <c r="D48" s="4">
        <f>D45*60/1000*1E-24/D42/(11245)</f>
        <v>3.847077221861765</v>
      </c>
    </row>
    <row r="49" spans="1:4" ht="12.75">
      <c r="A49" s="5" t="s">
        <v>50</v>
      </c>
      <c r="D49" s="4">
        <f>D46*60/1000*1E-24/D43/(11245)</f>
        <v>0.7672865701143357</v>
      </c>
    </row>
    <row r="50" spans="1:4" ht="12.75">
      <c r="A50" s="5" t="s">
        <v>51</v>
      </c>
      <c r="D50" s="4">
        <f>D47*60/1000*1E-24/D44/(11245)</f>
        <v>3.662489095076205</v>
      </c>
    </row>
    <row r="51" ht="4.5" customHeight="1"/>
    <row r="52" spans="1:6" ht="12.75">
      <c r="A52" s="5" t="s">
        <v>55</v>
      </c>
      <c r="B52" s="5" t="s">
        <v>60</v>
      </c>
      <c r="C52" s="5" t="s">
        <v>61</v>
      </c>
      <c r="D52" s="5" t="s">
        <v>62</v>
      </c>
      <c r="E52" s="5"/>
      <c r="F52" s="5"/>
    </row>
    <row r="53" spans="1:4" ht="12.75">
      <c r="A53" s="5" t="s">
        <v>56</v>
      </c>
      <c r="B53">
        <v>156</v>
      </c>
      <c r="C53">
        <v>156</v>
      </c>
      <c r="D53" s="7">
        <v>156</v>
      </c>
    </row>
    <row r="54" spans="1:4" ht="12.75">
      <c r="A54" s="5" t="s">
        <v>57</v>
      </c>
      <c r="B54">
        <v>152</v>
      </c>
      <c r="C54">
        <v>76</v>
      </c>
      <c r="D54" s="7">
        <v>16</v>
      </c>
    </row>
    <row r="55" spans="1:4" ht="12.75">
      <c r="A55" s="5" t="s">
        <v>58</v>
      </c>
      <c r="B55">
        <f>B53</f>
        <v>156</v>
      </c>
      <c r="C55">
        <f>C53</f>
        <v>156</v>
      </c>
      <c r="D55" s="7">
        <f>D53</f>
        <v>156</v>
      </c>
    </row>
    <row r="56" spans="1:4" ht="12.75">
      <c r="A56" s="5" t="s">
        <v>59</v>
      </c>
      <c r="B56">
        <v>0</v>
      </c>
      <c r="C56">
        <v>36</v>
      </c>
      <c r="D56" s="7">
        <v>68</v>
      </c>
    </row>
    <row r="57" ht="3.75" customHeight="1"/>
    <row r="58" ht="12.75">
      <c r="A58" t="s">
        <v>65</v>
      </c>
    </row>
    <row r="59" spans="1:4" ht="12.75">
      <c r="A59" t="s">
        <v>66</v>
      </c>
      <c r="B59" t="s">
        <v>67</v>
      </c>
      <c r="D59">
        <v>18</v>
      </c>
    </row>
    <row r="60" spans="1:4" ht="12.75">
      <c r="A60" s="5" t="s">
        <v>78</v>
      </c>
      <c r="B60" t="s">
        <v>67</v>
      </c>
      <c r="D60">
        <v>74</v>
      </c>
    </row>
    <row r="61" ht="3.75" customHeight="1"/>
    <row r="62" ht="12.75">
      <c r="A62" t="s">
        <v>68</v>
      </c>
    </row>
    <row r="63" spans="1:4" ht="12.75">
      <c r="A63" t="s">
        <v>69</v>
      </c>
      <c r="B63" t="s">
        <v>75</v>
      </c>
      <c r="D63" s="1">
        <v>1.8426E-11</v>
      </c>
    </row>
    <row r="64" spans="1:4" ht="12.75">
      <c r="A64" t="s">
        <v>72</v>
      </c>
      <c r="B64" t="s">
        <v>76</v>
      </c>
      <c r="D64" s="1">
        <v>0.00267486</v>
      </c>
    </row>
    <row r="65" spans="1:4" ht="12.75">
      <c r="A65" t="s">
        <v>70</v>
      </c>
      <c r="B65" t="s">
        <v>75</v>
      </c>
      <c r="D65" s="4">
        <v>46.795</v>
      </c>
    </row>
    <row r="66" spans="1:4" ht="12.75">
      <c r="A66" t="s">
        <v>71</v>
      </c>
      <c r="B66" t="s">
        <v>77</v>
      </c>
      <c r="D66" s="4">
        <v>44.1435</v>
      </c>
    </row>
    <row r="67" spans="1:4" ht="12.75">
      <c r="A67" t="s">
        <v>73</v>
      </c>
      <c r="B67" t="s">
        <v>67</v>
      </c>
      <c r="D67" s="4">
        <v>12.8821</v>
      </c>
    </row>
    <row r="68" spans="1:4" ht="12.75">
      <c r="A68" t="s">
        <v>74</v>
      </c>
      <c r="B68" t="s">
        <v>67</v>
      </c>
      <c r="D68" s="4">
        <v>25.7643</v>
      </c>
    </row>
  </sheetData>
  <sheetProtection/>
  <printOptions horizontalCentered="1" verticalCentered="1"/>
  <pageMargins left="0.7" right="0.7" top="0" bottom="0.45" header="0.2" footer="0.2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Layout" workbookViewId="0" topLeftCell="A4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250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2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2</v>
      </c>
    </row>
    <row r="18" spans="1:4" ht="12.75">
      <c r="A18" s="5" t="s">
        <v>28</v>
      </c>
      <c r="C18" s="6" t="s">
        <v>53</v>
      </c>
      <c r="D18" s="6" t="s">
        <v>53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54</v>
      </c>
      <c r="D20" s="6" t="s">
        <v>54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936</v>
      </c>
      <c r="D24" s="2">
        <f>C24</f>
        <v>936</v>
      </c>
    </row>
    <row r="25" spans="1:4" ht="12.75">
      <c r="A25" t="s">
        <v>3</v>
      </c>
      <c r="C25" s="1">
        <v>40000000000</v>
      </c>
      <c r="D25" s="1">
        <f>C25</f>
        <v>40000000000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37440000000000</v>
      </c>
      <c r="D31" s="1">
        <f>C31</f>
        <v>37440000000000</v>
      </c>
    </row>
    <row r="32" spans="1:4" ht="12.75">
      <c r="A32" t="s">
        <v>8</v>
      </c>
      <c r="B32" t="s">
        <v>17</v>
      </c>
      <c r="C32" s="4">
        <f>C31*0.00000000000000000016*11245*1000</f>
        <v>67.36204799999999</v>
      </c>
      <c r="D32" s="4">
        <f>C32</f>
        <v>67.36204799999999</v>
      </c>
    </row>
    <row r="33" spans="1:4" ht="12.75">
      <c r="A33" t="s">
        <v>9</v>
      </c>
      <c r="B33" t="s">
        <v>18</v>
      </c>
      <c r="C33" s="4">
        <f>C31*C23*1000000000000/6240000000000000000/1000000</f>
        <v>2.7</v>
      </c>
      <c r="D33" s="4">
        <f>D31*D23*1000000000000/6240000000000000000/1000000</f>
        <v>42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0.031706459601468166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0.031706459601468166</v>
      </c>
    </row>
    <row r="39" spans="1:4" ht="12.75">
      <c r="A39" s="5" t="s">
        <v>52</v>
      </c>
      <c r="B39" s="5"/>
      <c r="C39" s="4"/>
      <c r="D39" s="3">
        <f>1/SQRT(1+(D2/1000000*D$35*10/2/D36)^2)</f>
        <v>0.9584433697000857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0.9028418834291021</v>
      </c>
    </row>
    <row r="42" spans="1:4" ht="12.75">
      <c r="A42" s="5" t="s">
        <v>43</v>
      </c>
      <c r="C42" s="4"/>
      <c r="D42" s="2">
        <v>936</v>
      </c>
    </row>
    <row r="43" spans="1:4" ht="12.75">
      <c r="A43" s="5" t="s">
        <v>44</v>
      </c>
      <c r="C43" s="4"/>
      <c r="D43" s="2">
        <v>912</v>
      </c>
    </row>
    <row r="44" spans="1:4" ht="12.75">
      <c r="A44" s="5" t="s">
        <v>45</v>
      </c>
      <c r="C44" s="4"/>
      <c r="D44" s="2">
        <v>874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1.2776631912887414E+32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2.565238277506959E+31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1.1238211672645624E+32</v>
      </c>
    </row>
    <row r="48" spans="1:4" ht="12.75">
      <c r="A48" s="5" t="s">
        <v>49</v>
      </c>
      <c r="C48" s="4"/>
      <c r="D48" s="4">
        <f>D45*60/1000*1E-24/D42/(11245)</f>
        <v>0.7283369197071868</v>
      </c>
    </row>
    <row r="49" spans="1:4" ht="12.75">
      <c r="A49" s="5" t="s">
        <v>50</v>
      </c>
      <c r="D49" s="4">
        <f>D46*60/1000*1E-24/D43/(11245)</f>
        <v>0.15008063686240428</v>
      </c>
    </row>
    <row r="50" spans="1:4" ht="12.75">
      <c r="A50" s="5" t="s">
        <v>51</v>
      </c>
      <c r="D50" s="4">
        <f>D47*60/1000*1E-24/D44/(11245)</f>
        <v>0.6860844335176045</v>
      </c>
    </row>
    <row r="52" spans="1:6" ht="12.75">
      <c r="A52" s="5"/>
      <c r="B52" s="5"/>
      <c r="C52" s="5"/>
      <c r="D52" s="5"/>
      <c r="E52" s="5"/>
      <c r="F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</sheetData>
  <sheetProtection/>
  <printOptions horizontalCentered="1" verticalCentered="1"/>
  <pageMargins left="0.7" right="0.7" top="0.75" bottom="0.75" header="0.3" footer="0.3"/>
  <pageSetup horizontalDpi="600" verticalDpi="600" orientation="portrait" r:id="rId1"/>
  <headerFooter>
    <oddFooter>&amp;LCompiled by M. Giovannozzi&amp;Cwith input from: W. Herr, J. Jowett, &amp;RE. Métral, and E. Shaposhnikova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1">
      <selection activeCell="A6" sqref="A6:IV7"/>
    </sheetView>
  </sheetViews>
  <sheetFormatPr defaultColWidth="9.140625" defaultRowHeight="12.75"/>
  <cols>
    <col min="1" max="1" width="40.28125" style="0" bestFit="1" customWidth="1"/>
    <col min="2" max="2" width="8.28125" style="0" bestFit="1" customWidth="1"/>
    <col min="3" max="4" width="9.00390625" style="0" bestFit="1" customWidth="1"/>
  </cols>
  <sheetData>
    <row r="1" spans="1:6" ht="12.75">
      <c r="A1" s="5" t="s">
        <v>11</v>
      </c>
      <c r="B1" s="5" t="s">
        <v>12</v>
      </c>
      <c r="C1" t="s">
        <v>23</v>
      </c>
      <c r="D1" t="s">
        <v>24</v>
      </c>
      <c r="E1" t="s">
        <v>23</v>
      </c>
      <c r="F1" t="s">
        <v>24</v>
      </c>
    </row>
    <row r="2" spans="1:4" ht="12.75">
      <c r="A2" s="5" t="s">
        <v>81</v>
      </c>
      <c r="B2" s="5" t="s">
        <v>22</v>
      </c>
      <c r="C2" s="4">
        <v>400</v>
      </c>
      <c r="D2" s="4">
        <v>250</v>
      </c>
    </row>
    <row r="3" spans="1:6" ht="12.75">
      <c r="A3" s="9" t="s">
        <v>82</v>
      </c>
      <c r="B3" s="5" t="s">
        <v>22</v>
      </c>
      <c r="C3" s="4">
        <v>140</v>
      </c>
      <c r="D3" s="4">
        <v>140</v>
      </c>
      <c r="E3" s="4">
        <f>-C3</f>
        <v>-140</v>
      </c>
      <c r="F3" s="4">
        <f>-D3</f>
        <v>-140</v>
      </c>
    </row>
    <row r="4" spans="1:6" ht="12.75">
      <c r="A4" s="9" t="s">
        <v>84</v>
      </c>
      <c r="B4" s="5" t="s">
        <v>22</v>
      </c>
      <c r="C4" s="4">
        <f>2*170</f>
        <v>340</v>
      </c>
      <c r="D4" s="4">
        <f>2*80</f>
        <v>160</v>
      </c>
      <c r="E4" s="4">
        <f>-C4</f>
        <v>-340</v>
      </c>
      <c r="F4" s="4">
        <f>-D4</f>
        <v>-160</v>
      </c>
    </row>
    <row r="5" spans="1:6" ht="12.75">
      <c r="A5" s="5" t="s">
        <v>86</v>
      </c>
      <c r="B5" s="5" t="s">
        <v>22</v>
      </c>
      <c r="C5" s="4">
        <f>(C3+C4)</f>
        <v>480</v>
      </c>
      <c r="D5" s="4">
        <f>(D3+D4)</f>
        <v>300</v>
      </c>
      <c r="E5" s="4">
        <f>(E3+E4)</f>
        <v>-480</v>
      </c>
      <c r="F5" s="4">
        <f>(F3+F4)</f>
        <v>-300</v>
      </c>
    </row>
    <row r="6" spans="1:6" ht="12.75">
      <c r="A6" s="9" t="s">
        <v>83</v>
      </c>
      <c r="B6" s="5" t="s">
        <v>22</v>
      </c>
      <c r="C6" s="4">
        <v>-270</v>
      </c>
      <c r="D6" s="4">
        <v>-270</v>
      </c>
      <c r="E6" s="4">
        <f>-C6</f>
        <v>270</v>
      </c>
      <c r="F6" s="4">
        <f>-D6</f>
        <v>270</v>
      </c>
    </row>
    <row r="7" spans="1:6" ht="12.75">
      <c r="A7" s="9" t="s">
        <v>85</v>
      </c>
      <c r="B7" s="5" t="s">
        <v>22</v>
      </c>
      <c r="C7" s="4">
        <f>-2*165</f>
        <v>-330</v>
      </c>
      <c r="D7" s="4">
        <f>-2*65</f>
        <v>-130</v>
      </c>
      <c r="E7" s="4">
        <f>-2*170</f>
        <v>-340</v>
      </c>
      <c r="F7" s="4">
        <f>-2*210</f>
        <v>-420</v>
      </c>
    </row>
    <row r="8" spans="1:6" ht="12.75">
      <c r="A8" s="5" t="s">
        <v>87</v>
      </c>
      <c r="B8" s="5" t="s">
        <v>22</v>
      </c>
      <c r="C8" s="4">
        <f>(C6+C7)</f>
        <v>-600</v>
      </c>
      <c r="D8" s="4">
        <f>(D6+D7)</f>
        <v>-400</v>
      </c>
      <c r="E8" s="4">
        <f>(E6+E7)</f>
        <v>-70</v>
      </c>
      <c r="F8" s="4">
        <f>(F6+F7)</f>
        <v>-150</v>
      </c>
    </row>
    <row r="9" spans="1:4" ht="12.75">
      <c r="A9" s="5" t="s">
        <v>39</v>
      </c>
      <c r="B9" t="s">
        <v>13</v>
      </c>
      <c r="C9" s="4">
        <v>5</v>
      </c>
      <c r="D9" s="4">
        <v>5</v>
      </c>
    </row>
    <row r="10" spans="1:4" ht="12.75">
      <c r="A10" t="s">
        <v>0</v>
      </c>
      <c r="B10" t="s">
        <v>13</v>
      </c>
      <c r="C10" s="4">
        <v>0</v>
      </c>
      <c r="D10" s="4">
        <v>0.5</v>
      </c>
    </row>
    <row r="11" spans="1:4" ht="12.75">
      <c r="A11" s="5" t="s">
        <v>40</v>
      </c>
      <c r="B11" t="s">
        <v>13</v>
      </c>
      <c r="C11" s="4">
        <v>4</v>
      </c>
      <c r="D11" s="4">
        <v>4</v>
      </c>
    </row>
    <row r="12" spans="1:4" ht="12.75">
      <c r="A12" t="s">
        <v>0</v>
      </c>
      <c r="B12" t="s">
        <v>13</v>
      </c>
      <c r="C12" s="4">
        <v>1.5</v>
      </c>
      <c r="D12" s="4">
        <v>0</v>
      </c>
    </row>
    <row r="13" spans="1:4" ht="12.75">
      <c r="A13" s="5" t="s">
        <v>41</v>
      </c>
      <c r="B13" t="s">
        <v>13</v>
      </c>
      <c r="C13" s="4">
        <v>4</v>
      </c>
      <c r="D13" s="4">
        <v>4</v>
      </c>
    </row>
    <row r="14" spans="1:4" ht="12.75">
      <c r="A14" t="s">
        <v>0</v>
      </c>
      <c r="B14" t="s">
        <v>13</v>
      </c>
      <c r="C14" s="4">
        <v>2</v>
      </c>
      <c r="D14" s="4">
        <v>0</v>
      </c>
    </row>
    <row r="15" spans="1:4" ht="12.75">
      <c r="A15" s="5" t="s">
        <v>27</v>
      </c>
      <c r="B15" t="s">
        <v>14</v>
      </c>
      <c r="C15" s="4">
        <v>11</v>
      </c>
      <c r="D15" s="4">
        <v>1</v>
      </c>
    </row>
    <row r="16" spans="1:4" ht="12.75">
      <c r="A16" s="5" t="s">
        <v>25</v>
      </c>
      <c r="B16" t="s">
        <v>14</v>
      </c>
      <c r="C16" s="4">
        <v>10</v>
      </c>
      <c r="D16" s="4">
        <v>10</v>
      </c>
    </row>
    <row r="17" spans="1:4" ht="12.75">
      <c r="A17" s="5" t="s">
        <v>26</v>
      </c>
      <c r="B17" t="s">
        <v>14</v>
      </c>
      <c r="C17" s="4">
        <v>10</v>
      </c>
      <c r="D17" s="4">
        <v>10</v>
      </c>
    </row>
    <row r="18" spans="1:4" ht="12.75">
      <c r="A18" s="5" t="s">
        <v>28</v>
      </c>
      <c r="C18" s="6" t="s">
        <v>53</v>
      </c>
      <c r="D18" s="6" t="s">
        <v>53</v>
      </c>
    </row>
    <row r="19" spans="1:4" ht="12.75">
      <c r="A19" s="5" t="s">
        <v>29</v>
      </c>
      <c r="C19" s="6" t="s">
        <v>53</v>
      </c>
      <c r="D19" s="6" t="s">
        <v>53</v>
      </c>
    </row>
    <row r="20" spans="1:4" ht="12.75">
      <c r="A20" s="5" t="s">
        <v>30</v>
      </c>
      <c r="C20" s="6" t="s">
        <v>54</v>
      </c>
      <c r="D20" s="6" t="s">
        <v>54</v>
      </c>
    </row>
    <row r="21" spans="1:4" ht="12.75">
      <c r="A21" s="5" t="s">
        <v>31</v>
      </c>
      <c r="C21" s="6" t="s">
        <v>54</v>
      </c>
      <c r="D21" s="6" t="s">
        <v>54</v>
      </c>
    </row>
    <row r="22" spans="3:4" ht="3.75" customHeight="1">
      <c r="C22" s="4"/>
      <c r="D22" s="4"/>
    </row>
    <row r="23" spans="1:4" ht="12.75">
      <c r="A23" t="s">
        <v>1</v>
      </c>
      <c r="B23" t="s">
        <v>15</v>
      </c>
      <c r="C23" s="4">
        <v>0.45</v>
      </c>
      <c r="D23" s="4">
        <v>7</v>
      </c>
    </row>
    <row r="24" spans="1:4" ht="12.75">
      <c r="A24" t="s">
        <v>2</v>
      </c>
      <c r="C24" s="2">
        <v>936</v>
      </c>
      <c r="D24" s="2">
        <f>C24</f>
        <v>936</v>
      </c>
    </row>
    <row r="25" spans="1:4" ht="12.75">
      <c r="A25" t="s">
        <v>3</v>
      </c>
      <c r="C25" s="1">
        <v>90000000000</v>
      </c>
      <c r="D25" s="1">
        <f>C25</f>
        <v>90000000000</v>
      </c>
    </row>
    <row r="26" spans="1:5" ht="12.75">
      <c r="A26" s="5" t="s">
        <v>79</v>
      </c>
      <c r="B26" s="5" t="s">
        <v>80</v>
      </c>
      <c r="C26" s="2">
        <v>8</v>
      </c>
      <c r="D26" s="2">
        <v>16</v>
      </c>
      <c r="E26" s="2"/>
    </row>
    <row r="27" spans="1:4" ht="12.75">
      <c r="A27" t="s">
        <v>4</v>
      </c>
      <c r="B27" t="s">
        <v>16</v>
      </c>
      <c r="C27" s="4">
        <v>1</v>
      </c>
      <c r="D27" s="4">
        <v>2.5</v>
      </c>
    </row>
    <row r="28" spans="1:4" ht="12.75">
      <c r="A28" t="s">
        <v>5</v>
      </c>
      <c r="B28" s="5" t="s">
        <v>21</v>
      </c>
      <c r="C28" s="4">
        <v>3.5</v>
      </c>
      <c r="D28" s="4">
        <v>3.75</v>
      </c>
    </row>
    <row r="29" spans="3:4" ht="3.75" customHeight="1">
      <c r="C29" s="4"/>
      <c r="D29" s="4"/>
    </row>
    <row r="30" spans="1:4" ht="12.75">
      <c r="A30" t="s">
        <v>6</v>
      </c>
      <c r="B30" t="s">
        <v>12</v>
      </c>
      <c r="C30" s="4"/>
      <c r="D30" s="4"/>
    </row>
    <row r="31" spans="1:4" ht="12.75">
      <c r="A31" t="s">
        <v>7</v>
      </c>
      <c r="C31" s="1">
        <f>C25*C24</f>
        <v>84240000000000</v>
      </c>
      <c r="D31" s="1">
        <f>C31</f>
        <v>84240000000000</v>
      </c>
    </row>
    <row r="32" spans="1:4" ht="12.75">
      <c r="A32" t="s">
        <v>8</v>
      </c>
      <c r="B32" t="s">
        <v>17</v>
      </c>
      <c r="C32" s="4">
        <f>C31*0.00000000000000000016*11245*1000</f>
        <v>151.564608</v>
      </c>
      <c r="D32" s="4">
        <f>C32</f>
        <v>151.564608</v>
      </c>
    </row>
    <row r="33" spans="1:4" ht="12.75">
      <c r="A33" t="s">
        <v>9</v>
      </c>
      <c r="B33" t="s">
        <v>18</v>
      </c>
      <c r="C33" s="4">
        <f>C31*C23*1000000000000/6240000000000000000/1000000</f>
        <v>6.075</v>
      </c>
      <c r="D33" s="4">
        <f>D31*D23*1000000000000/6240000000000000000/1000000</f>
        <v>94.5</v>
      </c>
    </row>
    <row r="34" spans="1:4" ht="12.75">
      <c r="A34" t="s">
        <v>10</v>
      </c>
      <c r="C34" s="4">
        <v>479.60117645102804</v>
      </c>
      <c r="D34" s="4">
        <v>7460.462677773797</v>
      </c>
    </row>
    <row r="35" spans="1:4" ht="12.75">
      <c r="A35" s="5" t="s">
        <v>42</v>
      </c>
      <c r="B35" t="s">
        <v>19</v>
      </c>
      <c r="C35" s="4">
        <v>11.24</v>
      </c>
      <c r="D35" s="4">
        <v>7.55</v>
      </c>
    </row>
    <row r="36" spans="1:4" ht="12.75">
      <c r="A36" s="5" t="s">
        <v>34</v>
      </c>
      <c r="B36" s="5" t="s">
        <v>13</v>
      </c>
      <c r="C36" s="3">
        <f aca="true" t="shared" si="0" ref="C36:D38">SQRT(C$28*C15/C$34)</f>
        <v>0.28332848858603055</v>
      </c>
      <c r="D36" s="3">
        <f t="shared" si="0"/>
        <v>0.02241985259161546</v>
      </c>
    </row>
    <row r="37" spans="1:4" ht="12.75">
      <c r="A37" s="5" t="s">
        <v>35</v>
      </c>
      <c r="B37" s="5" t="s">
        <v>13</v>
      </c>
      <c r="C37" s="3">
        <f t="shared" si="0"/>
        <v>0.27014311433427696</v>
      </c>
      <c r="D37" s="3">
        <f t="shared" si="0"/>
        <v>0.07089779899473371</v>
      </c>
    </row>
    <row r="38" spans="1:4" ht="12.75">
      <c r="A38" s="5" t="s">
        <v>36</v>
      </c>
      <c r="B38" s="5" t="s">
        <v>13</v>
      </c>
      <c r="C38" s="3">
        <f t="shared" si="0"/>
        <v>0.27014311433427696</v>
      </c>
      <c r="D38" s="3">
        <f t="shared" si="0"/>
        <v>0.07089779899473371</v>
      </c>
    </row>
    <row r="39" spans="1:4" ht="12.75">
      <c r="A39" s="5" t="s">
        <v>52</v>
      </c>
      <c r="B39" s="5"/>
      <c r="C39" s="4"/>
      <c r="D39" s="3">
        <f>1/SQRT(1+(D2/1000000*D$35*10/2/D36)^2)</f>
        <v>0.9216712154772952</v>
      </c>
    </row>
    <row r="40" spans="1:4" ht="12.75">
      <c r="A40" s="5" t="s">
        <v>37</v>
      </c>
      <c r="B40" s="5"/>
      <c r="C40" s="4"/>
      <c r="D40" s="3">
        <f>1/SQRT(1+(D5/1000000*D$35*10/2/D37)^2)</f>
        <v>0.987481119170556</v>
      </c>
    </row>
    <row r="41" spans="1:4" ht="12.75">
      <c r="A41" s="5" t="s">
        <v>38</v>
      </c>
      <c r="C41" s="4"/>
      <c r="D41" s="3">
        <f>1/SQRT(1+(D8/1000000*D$35*10/2/D38)^2)</f>
        <v>0.9780627706393429</v>
      </c>
    </row>
    <row r="42" spans="1:4" ht="12.75">
      <c r="A42" s="5" t="s">
        <v>43</v>
      </c>
      <c r="C42" s="4"/>
      <c r="D42" s="2">
        <v>936</v>
      </c>
    </row>
    <row r="43" spans="1:4" ht="12.75">
      <c r="A43" s="5" t="s">
        <v>44</v>
      </c>
      <c r="C43" s="4"/>
      <c r="D43" s="2">
        <v>912</v>
      </c>
    </row>
    <row r="44" spans="1:4" ht="12.75">
      <c r="A44" s="5" t="s">
        <v>45</v>
      </c>
      <c r="C44" s="4"/>
      <c r="D44" s="2">
        <v>874</v>
      </c>
    </row>
    <row r="45" spans="1:4" ht="12.75">
      <c r="A45" s="5" t="s">
        <v>46</v>
      </c>
      <c r="B45" t="s">
        <v>20</v>
      </c>
      <c r="C45" s="4"/>
      <c r="D45" s="1">
        <f>D$25^2*D42*11.245*1000*D$34/4/PI()/(D$28/1000000*100)/(D15*100)*D39</f>
        <v>1.2440017235341296E+33</v>
      </c>
    </row>
    <row r="46" spans="1:4" ht="12.75">
      <c r="A46" s="5" t="s">
        <v>47</v>
      </c>
      <c r="B46" t="s">
        <v>20</v>
      </c>
      <c r="C46" s="4"/>
      <c r="D46" s="1">
        <f>D$25^2*D43*11.245*1000*D$34/4/PI()/(D$28/1000000*100)/(D16*100)*D40</f>
        <v>1.2986518779878983E+32</v>
      </c>
    </row>
    <row r="47" spans="1:4" ht="12.75">
      <c r="A47" s="5" t="s">
        <v>48</v>
      </c>
      <c r="B47" t="s">
        <v>20</v>
      </c>
      <c r="C47" s="4"/>
      <c r="D47" s="1">
        <f>D$25^2*D44*11.245*1000*D$34/4/PI()/(D$28/1000000*100)/(D17*100)*D41</f>
        <v>1.2326712578817644E+32</v>
      </c>
    </row>
    <row r="48" spans="1:4" ht="12.75">
      <c r="A48" s="5" t="s">
        <v>49</v>
      </c>
      <c r="C48" s="4"/>
      <c r="D48" s="4">
        <f>D45*60/1000*1E-24/D42/(11245)</f>
        <v>7.091480678216697</v>
      </c>
    </row>
    <row r="49" spans="1:4" ht="12.75">
      <c r="A49" s="5" t="s">
        <v>50</v>
      </c>
      <c r="D49" s="4">
        <f>D46*60/1000*1E-24/D43/(11245)</f>
        <v>0.7597832241159218</v>
      </c>
    </row>
    <row r="50" spans="1:4" ht="12.75">
      <c r="A50" s="5" t="s">
        <v>51</v>
      </c>
      <c r="D50" s="4">
        <f>D47*60/1000*1E-24/D44/(11245)</f>
        <v>0.7525366012955247</v>
      </c>
    </row>
    <row r="52" spans="1:4" ht="12.75">
      <c r="A52" s="5"/>
      <c r="B52" s="5"/>
      <c r="C52" s="5"/>
      <c r="D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  <headerFooter>
    <oddFooter>&amp;LCompiled by M. Giovannozzi&amp;Cwith input from: W. Herr, J. Jowett, &amp;RE. Métral, and E. Shaposhnikova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Q from space charge</dc:title>
  <dc:subject>Computation of space charge tuneshift</dc:subject>
  <dc:creator>M. Giovannozzi</dc:creator>
  <cp:keywords/>
  <dc:description>Offspring of a similar file by G. Metral</dc:description>
  <cp:lastModifiedBy>giovanno</cp:lastModifiedBy>
  <cp:lastPrinted>2008-05-05T20:21:16Z</cp:lastPrinted>
  <dcterms:created xsi:type="dcterms:W3CDTF">2000-11-29T18:14:36Z</dcterms:created>
  <dcterms:modified xsi:type="dcterms:W3CDTF">2008-07-02T07:27:44Z</dcterms:modified>
  <cp:category/>
  <cp:version/>
  <cp:contentType/>
  <cp:contentStatus/>
</cp:coreProperties>
</file>